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birdlife.org\data\Tokyo_Data\021_企業と生物多様性\トヨタ自動車\グリーンウェーブ評価\机上評価ツール\"/>
    </mc:Choice>
  </mc:AlternateContent>
  <workbookProtection workbookPassword="E605" lockStructure="1"/>
  <bookViews>
    <workbookView xWindow="0" yWindow="0" windowWidth="28800" windowHeight="12456" tabRatio="760"/>
  </bookViews>
  <sheets>
    <sheet name="ツール" sheetId="12" r:id="rId1"/>
    <sheet name="使い方" sheetId="27" r:id="rId2"/>
    <sheet name="代替機能一覧" sheetId="22" r:id="rId3"/>
    <sheet name="評価方法の考え方・注意事項" sheetId="28" r:id="rId4"/>
    <sheet name="CO2固定" sheetId="10" state="hidden" r:id="rId5"/>
    <sheet name="生育指数(広葉樹)" sheetId="13" state="hidden" r:id="rId6"/>
    <sheet name="生育指数(針葉樹)" sheetId="25" state="hidden" r:id="rId7"/>
    <sheet name="大気浄化" sheetId="20" state="hidden" r:id="rId8"/>
    <sheet name="貯水量" sheetId="21" state="hidden" r:id="rId9"/>
    <sheet name="蒸散（ドライミスト）1" sheetId="17" state="hidden" r:id="rId10"/>
    <sheet name="蒸散（ドライミスト）2" sheetId="26" state="hidden" r:id="rId11"/>
    <sheet name="Tool_EN" sheetId="23" state="hidden" r:id="rId12"/>
    <sheet name="コンセプト・注意事項 (報告書用)" sheetId="29" state="hidden" r:id="rId13"/>
    <sheet name="蒸散（エアコン）" sheetId="14" state="hidden" r:id="rId14"/>
    <sheet name="ツール（複数同時）" sheetId="5" state="hidden" r:id="rId15"/>
    <sheet name="愛知県CO2" sheetId="1" state="hidden" r:id="rId16"/>
    <sheet name="NOx &amp; SOx" sheetId="2" state="hidden" r:id="rId17"/>
    <sheet name="貯水・浄水" sheetId="3" state="hidden" r:id="rId18"/>
    <sheet name="蒸散" sheetId="4" state="hidden" r:id="rId19"/>
    <sheet name="蒸散・Makkink式パラメータ" sheetId="11" state="hidden" r:id="rId20"/>
    <sheet name="気象情報の入手方法" sheetId="6" state="hidden" r:id="rId21"/>
    <sheet name="気象情報" sheetId="7" state="hidden" r:id="rId22"/>
  </sheets>
  <externalReferences>
    <externalReference r:id="rId23"/>
  </externalReferences>
  <definedNames>
    <definedName name="Aichi">Tool_EN!$D$111:$D$112</definedName>
    <definedName name="Akita">Tool_EN!$D$64</definedName>
    <definedName name="Aomori">Tool_EN!$D$56:$D$59</definedName>
    <definedName name="Chiba">Tool_EN!$D$79:$D$81</definedName>
    <definedName name="Ehime">Tool_EN!$D$145:$D$146</definedName>
    <definedName name="Fukui">Tool_EN!$D$94:$D$95</definedName>
    <definedName name="Fukuoka">Tool_EN!$D$151:$D$152</definedName>
    <definedName name="Fukushima">Tool_EN!$D$68:$D$71</definedName>
    <definedName name="Gifu">Tool_EN!$D$103:$D$104</definedName>
    <definedName name="Gunma">Tool_EN!$D$76</definedName>
    <definedName name="Hiroshima">Tool_EN!$D$136:$D$138</definedName>
    <definedName name="Hokkaido">Tool_EN!$D$33:$D$55</definedName>
    <definedName name="Hyogo">Tool_EN!$D$121:$D$124</definedName>
    <definedName name="Ibaraki">Tool_EN!$D$72:$D$73</definedName>
    <definedName name="Ishikawa">Tool_EN!$D$92:$D$93</definedName>
    <definedName name="Iwate">Tool_EN!$D$60:$D$61</definedName>
    <definedName name="Kagawa">Tool_EN!$D$143:$D$144</definedName>
    <definedName name="Kagoshima">Tool_EN!$D$171:$D$177</definedName>
    <definedName name="Kanagawa">Tool_EN!$D$86</definedName>
    <definedName name="Kochi">Tool_EN!$D$147:$D$150</definedName>
    <definedName name="Kumamoto">Tool_EN!$D$161:$D$164</definedName>
    <definedName name="Kyoto">Tool_EN!$D$118:$D$119</definedName>
    <definedName name="Mie">Tool_EN!$D$113:$D$116</definedName>
    <definedName name="Miyagi">Tool_EN!$D$62:$D$63</definedName>
    <definedName name="Miyazaki">Tool_EN!$D$167:$D$170</definedName>
    <definedName name="Nagano">Tool_EN!$D$98:$D$102</definedName>
    <definedName name="Nagasaki">Tool_EN!$D$154:$D$160</definedName>
    <definedName name="Nara">Tool_EN!$D$125</definedName>
    <definedName name="Niigata">Tool_EN!$D$87:$D$89</definedName>
    <definedName name="Oita">Tool_EN!$D$165:$D$166</definedName>
    <definedName name="Okayama">Tool_EN!$D$134:$D$135</definedName>
    <definedName name="Osaka">Tool_EN!$D$120</definedName>
    <definedName name="_xlnm.Print_Area" localSheetId="11">Tool_EN!$A$1:$X$29</definedName>
    <definedName name="_xlnm.Print_Area" localSheetId="0">ツール!$A$1:$X$30</definedName>
    <definedName name="_xlnm.Print_Area" localSheetId="14">'ツール（複数同時）'!$A$1:$O$56</definedName>
    <definedName name="_xlnm.Print_Area" localSheetId="1">使い方!$A$1:$C$42</definedName>
    <definedName name="Saga">Tool_EN!$D$153</definedName>
    <definedName name="Saitama">Tool_EN!$D$77:$D$78</definedName>
    <definedName name="Shiga">Tool_EN!$D$117</definedName>
    <definedName name="Shimane">Tool_EN!$D$130:$D$133</definedName>
    <definedName name="Shizuoka">Tool_EN!$D$105:$D$110</definedName>
    <definedName name="Tochigi">Tool_EN!$D$74:$D$75</definedName>
    <definedName name="Tokushima">Tool_EN!$D$142</definedName>
    <definedName name="Tokyo">Tool_EN!$D$82:$D$85</definedName>
    <definedName name="Tottori">Tool_EN!$D$128:$D$129</definedName>
    <definedName name="Toyama">Tool_EN!$D$90:$D$91</definedName>
    <definedName name="Wakayama">Tool_EN!$D$126:$D$127</definedName>
    <definedName name="Yamagata">Tool_EN!$D$65:$D$67</definedName>
    <definedName name="Yamaguchi">Tool_EN!$D$139:$D$141</definedName>
    <definedName name="Yamanashi">Tool_EN!$D$96:$D$97</definedName>
    <definedName name="愛知県" localSheetId="11">Tool_EN!$D$111:$D$112</definedName>
    <definedName name="愛知県">ツール!$D$112:$D$113</definedName>
    <definedName name="愛媛県" localSheetId="11">Tool_EN!$D$145:$D$146</definedName>
    <definedName name="愛媛県">ツール!$D$146:$D$147</definedName>
    <definedName name="茨城県" localSheetId="11">Tool_EN!$D$72:$D$73</definedName>
    <definedName name="茨城県">ツール!$D$73:$D$74</definedName>
    <definedName name="岡山県" localSheetId="11">Tool_EN!$D$134:$D$135</definedName>
    <definedName name="岡山県">ツール!$D$135:$D$136</definedName>
    <definedName name="岩手" localSheetId="11">Tool_EN!$D$60:$D$61</definedName>
    <definedName name="岩手">ツール!$D$61:$D$62</definedName>
    <definedName name="岩手県" localSheetId="11">Tool_EN!$D$60:$D$61</definedName>
    <definedName name="岩手県">ツール!$D$61:$D$62</definedName>
    <definedName name="岐阜県" localSheetId="11">Tool_EN!$D$103:$D$104</definedName>
    <definedName name="岐阜県">ツール!$D$104:$D$105</definedName>
    <definedName name="宮崎県" localSheetId="11">Tool_EN!$D$167:$D$170</definedName>
    <definedName name="宮崎県">ツール!$D$168:$D$171</definedName>
    <definedName name="宮城" localSheetId="11">Tool_EN!$D$62:$D$63</definedName>
    <definedName name="宮城">ツール!$D$63:$D$64</definedName>
    <definedName name="宮城県" localSheetId="11">Tool_EN!$D$62:$D$63</definedName>
    <definedName name="宮城県">ツール!$D$63:$D$64</definedName>
    <definedName name="京都府" localSheetId="11">Tool_EN!$D$118:$D$119</definedName>
    <definedName name="京都府">ツール!$D$119:$D$120</definedName>
    <definedName name="熊本県" localSheetId="11">Tool_EN!$D$161:$D$164</definedName>
    <definedName name="熊本県">ツール!$D$162:$D$165</definedName>
    <definedName name="群馬県" localSheetId="11">Tool_EN!$D$76</definedName>
    <definedName name="群馬県">ツール!$D$77</definedName>
    <definedName name="広島県" localSheetId="11">Tool_EN!$D$136:$D$138</definedName>
    <definedName name="広島県">ツール!$D$137:$D$139</definedName>
    <definedName name="香川県" localSheetId="11">Tool_EN!$D$143:$D$144</definedName>
    <definedName name="香川県">ツール!$D$144:$D$145</definedName>
    <definedName name="高知県" localSheetId="11">Tool_EN!$D$147:$D$150</definedName>
    <definedName name="高知県">ツール!$D$148:$D$151</definedName>
    <definedName name="佐賀県" localSheetId="11">Tool_EN!$D$153</definedName>
    <definedName name="佐賀県">ツール!$D$154</definedName>
    <definedName name="埼玉県" localSheetId="11">Tool_EN!$D$77:$D$78</definedName>
    <definedName name="埼玉県">ツール!$D$78:$D$79</definedName>
    <definedName name="三重県" localSheetId="11">Tool_EN!$D$113:$D$116</definedName>
    <definedName name="三重県">ツール!$D$114:$D$117</definedName>
    <definedName name="山形県" localSheetId="11">Tool_EN!$D$65:$D$67</definedName>
    <definedName name="山形県">ツール!$D$66:$D$68</definedName>
    <definedName name="山口県" localSheetId="11">Tool_EN!$D$139:$D$141</definedName>
    <definedName name="山口県">ツール!$D$140:$D$142</definedName>
    <definedName name="山梨県" localSheetId="11">Tool_EN!$D$96:$D$97</definedName>
    <definedName name="山梨県">ツール!$D$97:$D$98</definedName>
    <definedName name="滋賀県" localSheetId="11">Tool_EN!$D$117:$D$117</definedName>
    <definedName name="滋賀県">ツール!$D$118:$D$118</definedName>
    <definedName name="鹿児島県" localSheetId="11">Tool_EN!$D$171:$D$177</definedName>
    <definedName name="鹿児島県">ツール!$D$172:$D$178</definedName>
    <definedName name="秋田県" localSheetId="11">Tool_EN!$D$64</definedName>
    <definedName name="秋田県">ツール!$D$65</definedName>
    <definedName name="新潟県" localSheetId="11">Tool_EN!$D$87:$D$89</definedName>
    <definedName name="新潟県">ツール!$D$88:$D$90</definedName>
    <definedName name="神奈川県" localSheetId="11">Tool_EN!$D$86</definedName>
    <definedName name="神奈川県">ツール!$D$87</definedName>
    <definedName name="青森県" localSheetId="11">Tool_EN!$D$56:$D$59</definedName>
    <definedName name="青森県">ツール!$D$57:$D$60</definedName>
    <definedName name="静岡県" localSheetId="11">Tool_EN!$D$105:$D$110</definedName>
    <definedName name="静岡県">ツール!$D$106:$D$111</definedName>
    <definedName name="石川県" localSheetId="11">Tool_EN!$D$92:$D$93</definedName>
    <definedName name="石川県">ツール!$D$93:$D$94</definedName>
    <definedName name="千葉県" localSheetId="11">Tool_EN!$D$79:$D$81</definedName>
    <definedName name="千葉県">ツール!$D$80:$D$82</definedName>
    <definedName name="大阪府" localSheetId="11">Tool_EN!$D$120</definedName>
    <definedName name="大阪府">ツール!$D$121</definedName>
    <definedName name="大分県" localSheetId="11">Tool_EN!$D$165:$D$166</definedName>
    <definedName name="大分県">ツール!$D$166:$D$167</definedName>
    <definedName name="長崎県" localSheetId="11">Tool_EN!$D$154:$D$160</definedName>
    <definedName name="長崎県">ツール!$D$155:$D$161</definedName>
    <definedName name="長野県" localSheetId="11">Tool_EN!$D$98:$D$102</definedName>
    <definedName name="長野県">ツール!$D$99:$D$103</definedName>
    <definedName name="鳥取県" localSheetId="11">Tool_EN!$D$128:$D$129</definedName>
    <definedName name="鳥取県">ツール!$D$129:$D$130</definedName>
    <definedName name="都道府県名" localSheetId="11">Tool_EN!$C$33:$C$79</definedName>
    <definedName name="都道府県名" localSheetId="2">'[1]ツール（単独）'!$C$33:$C$79</definedName>
    <definedName name="都道府県名">ツール!$C$34:$C$80</definedName>
    <definedName name="島根県" localSheetId="11">Tool_EN!$D$130:$D$133</definedName>
    <definedName name="島根県">ツール!$D$131:$D$134</definedName>
    <definedName name="東京都" localSheetId="11">Tool_EN!$D$82:$D$85</definedName>
    <definedName name="東京都">ツール!$D$83:$D$86</definedName>
    <definedName name="徳島県" localSheetId="11">Tool_EN!$D$142</definedName>
    <definedName name="徳島県">ツール!$D$143</definedName>
    <definedName name="栃木県" localSheetId="11">Tool_EN!$D$74:$D$75</definedName>
    <definedName name="栃木県">ツール!$D$75:$D$76</definedName>
    <definedName name="奈良県" localSheetId="11">Tool_EN!$D$125</definedName>
    <definedName name="奈良県">ツール!$D$126</definedName>
    <definedName name="富山県" localSheetId="11">Tool_EN!$D$90:$D$91</definedName>
    <definedName name="富山県">ツール!$D$91:$D$92</definedName>
    <definedName name="福井県" localSheetId="11">Tool_EN!$D$94:$D$95</definedName>
    <definedName name="福井県">ツール!$D$95:$D$96</definedName>
    <definedName name="福岡県" localSheetId="11">Tool_EN!$D$151:$D$152</definedName>
    <definedName name="福岡県">ツール!$D$152:$D$153</definedName>
    <definedName name="福島県" localSheetId="11">Tool_EN!$D$68:$D$71</definedName>
    <definedName name="福島県">ツール!$D$69:$D$72</definedName>
    <definedName name="兵庫県" localSheetId="11">Tool_EN!$D$121:$D$124</definedName>
    <definedName name="兵庫県">ツール!$D$122:$D$125</definedName>
    <definedName name="北海道" localSheetId="11">Tool_EN!$D$33:$D$55</definedName>
    <definedName name="北海道">ツール!$D$34:$D$56</definedName>
    <definedName name="和歌山県" localSheetId="11">Tool_EN!$D$126:$D$127</definedName>
    <definedName name="和歌山県">ツール!$D$127:$D$128</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F10" i="22" l="1"/>
  <c r="F9" i="22"/>
  <c r="F11" i="22"/>
  <c r="F8" i="22" l="1"/>
  <c r="F6" i="22"/>
  <c r="F5" i="22"/>
  <c r="F4" i="22"/>
  <c r="G10" i="21" l="1"/>
  <c r="G5" i="17" l="1"/>
  <c r="G12" i="17" l="1"/>
  <c r="G13" i="17"/>
  <c r="G15" i="17" s="1"/>
  <c r="G16" i="17" s="1"/>
  <c r="G17" i="17" s="1"/>
  <c r="Q10" i="17"/>
  <c r="O1619" i="26" l="1"/>
  <c r="O1667" i="26"/>
  <c r="O1747" i="26"/>
  <c r="L1753" i="26"/>
  <c r="M1753" i="26" s="1"/>
  <c r="O1753" i="26" s="1"/>
  <c r="K1753" i="26"/>
  <c r="L1752" i="26"/>
  <c r="M1752" i="26" s="1"/>
  <c r="O1752" i="26" s="1"/>
  <c r="K1752" i="26"/>
  <c r="L1751" i="26"/>
  <c r="K1751" i="26"/>
  <c r="L1750" i="26"/>
  <c r="K1750" i="26"/>
  <c r="L1749" i="26"/>
  <c r="M1749" i="26" s="1"/>
  <c r="O1749" i="26" s="1"/>
  <c r="K1749" i="26"/>
  <c r="L1748" i="26"/>
  <c r="M1748" i="26" s="1"/>
  <c r="O1748" i="26" s="1"/>
  <c r="K1748" i="26"/>
  <c r="L1747" i="26"/>
  <c r="K1747" i="26"/>
  <c r="M1747" i="26" s="1"/>
  <c r="L1746" i="26"/>
  <c r="K1746" i="26"/>
  <c r="L1745" i="26"/>
  <c r="K1745" i="26"/>
  <c r="L1744" i="26"/>
  <c r="K1744" i="26"/>
  <c r="M1744" i="26" s="1"/>
  <c r="O1744" i="26" s="1"/>
  <c r="L1743" i="26"/>
  <c r="K1743" i="26"/>
  <c r="L1742" i="26"/>
  <c r="M1742" i="26" s="1"/>
  <c r="O1742" i="26" s="1"/>
  <c r="K1742" i="26"/>
  <c r="L1741" i="26"/>
  <c r="K1741" i="26"/>
  <c r="G1741" i="26"/>
  <c r="M1741" i="26" s="1"/>
  <c r="O1741" i="26" s="1"/>
  <c r="L1740" i="26"/>
  <c r="K1740" i="26"/>
  <c r="G1740" i="26"/>
  <c r="L1739" i="26"/>
  <c r="K1739" i="26"/>
  <c r="G1739" i="26"/>
  <c r="L1738" i="26"/>
  <c r="K1738" i="26"/>
  <c r="G1738" i="26"/>
  <c r="L1737" i="26"/>
  <c r="K1737" i="26"/>
  <c r="G1737" i="26"/>
  <c r="L1736" i="26"/>
  <c r="K1736" i="26"/>
  <c r="G1736" i="26"/>
  <c r="M1735" i="26"/>
  <c r="O1735" i="26" s="1"/>
  <c r="L1735" i="26"/>
  <c r="K1735" i="26"/>
  <c r="G1735" i="26"/>
  <c r="L1734" i="26"/>
  <c r="M1734" i="26" s="1"/>
  <c r="O1734" i="26" s="1"/>
  <c r="K1734" i="26"/>
  <c r="G1734" i="26"/>
  <c r="L1733" i="26"/>
  <c r="K1733" i="26"/>
  <c r="G1733" i="26"/>
  <c r="L1732" i="26"/>
  <c r="K1732" i="26"/>
  <c r="G1732" i="26"/>
  <c r="L1731" i="26"/>
  <c r="K1731" i="26"/>
  <c r="G1731" i="26"/>
  <c r="M1731" i="26" s="1"/>
  <c r="O1731" i="26" s="1"/>
  <c r="L1730" i="26"/>
  <c r="M1730" i="26" s="1"/>
  <c r="O1730" i="26" s="1"/>
  <c r="K1730" i="26"/>
  <c r="G1730" i="26"/>
  <c r="L1729" i="26"/>
  <c r="K1729" i="26"/>
  <c r="G1729" i="26"/>
  <c r="L1728" i="26"/>
  <c r="K1728" i="26"/>
  <c r="G1728" i="26"/>
  <c r="L1727" i="26"/>
  <c r="K1727" i="26"/>
  <c r="G1727" i="26"/>
  <c r="M1727" i="26" s="1"/>
  <c r="O1727" i="26" s="1"/>
  <c r="L1726" i="26"/>
  <c r="M1726" i="26" s="1"/>
  <c r="O1726" i="26" s="1"/>
  <c r="K1726" i="26"/>
  <c r="G1726" i="26"/>
  <c r="L1725" i="26"/>
  <c r="K1725" i="26"/>
  <c r="G1725" i="26"/>
  <c r="L1724" i="26"/>
  <c r="K1724" i="26"/>
  <c r="G1724" i="26"/>
  <c r="L1723" i="26"/>
  <c r="K1723" i="26"/>
  <c r="G1723" i="26"/>
  <c r="L1722" i="26"/>
  <c r="K1722" i="26"/>
  <c r="G1722" i="26"/>
  <c r="L1721" i="26"/>
  <c r="K1721" i="26"/>
  <c r="G1721" i="26"/>
  <c r="M1721" i="26" s="1"/>
  <c r="O1721" i="26" s="1"/>
  <c r="L1720" i="26"/>
  <c r="K1720" i="26"/>
  <c r="G1720" i="26"/>
  <c r="M1720" i="26" s="1"/>
  <c r="O1720" i="26" s="1"/>
  <c r="L1719" i="26"/>
  <c r="K1719" i="26"/>
  <c r="G1719" i="26"/>
  <c r="L1718" i="26"/>
  <c r="K1718" i="26"/>
  <c r="G1718" i="26"/>
  <c r="L1717" i="26"/>
  <c r="K1717" i="26"/>
  <c r="G1717" i="26"/>
  <c r="L1716" i="26"/>
  <c r="M1716" i="26" s="1"/>
  <c r="O1716" i="26" s="1"/>
  <c r="K1716" i="26"/>
  <c r="G1716" i="26"/>
  <c r="L1715" i="26"/>
  <c r="K1715" i="26"/>
  <c r="G1715" i="26"/>
  <c r="L1714" i="26"/>
  <c r="K1714" i="26"/>
  <c r="G1714" i="26"/>
  <c r="L1713" i="26"/>
  <c r="K1713" i="26"/>
  <c r="G1713" i="26"/>
  <c r="L1712" i="26"/>
  <c r="K1712" i="26"/>
  <c r="G1712" i="26"/>
  <c r="M1712" i="26" s="1"/>
  <c r="O1712" i="26" s="1"/>
  <c r="L1711" i="26"/>
  <c r="K1711" i="26"/>
  <c r="G1711" i="26"/>
  <c r="L1710" i="26"/>
  <c r="K1710" i="26"/>
  <c r="G1710" i="26"/>
  <c r="L1709" i="26"/>
  <c r="K1709" i="26"/>
  <c r="G1709" i="26"/>
  <c r="L1708" i="26"/>
  <c r="K1708" i="26"/>
  <c r="G1708" i="26"/>
  <c r="L1707" i="26"/>
  <c r="K1707" i="26"/>
  <c r="G1707" i="26"/>
  <c r="L1706" i="26"/>
  <c r="K1706" i="26"/>
  <c r="G1706" i="26"/>
  <c r="M1706" i="26" s="1"/>
  <c r="O1706" i="26" s="1"/>
  <c r="M1705" i="26"/>
  <c r="O1705" i="26" s="1"/>
  <c r="L1705" i="26"/>
  <c r="K1705" i="26"/>
  <c r="G1705" i="26"/>
  <c r="L1704" i="26"/>
  <c r="K1704" i="26"/>
  <c r="G1704" i="26"/>
  <c r="L1703" i="26"/>
  <c r="M1703" i="26" s="1"/>
  <c r="O1703" i="26" s="1"/>
  <c r="K1703" i="26"/>
  <c r="G1703" i="26"/>
  <c r="L1702" i="26"/>
  <c r="K1702" i="26"/>
  <c r="G1702" i="26"/>
  <c r="L1701" i="26"/>
  <c r="K1701" i="26"/>
  <c r="G1701" i="26"/>
  <c r="L1700" i="26"/>
  <c r="K1700" i="26"/>
  <c r="G1700" i="26"/>
  <c r="L1699" i="26"/>
  <c r="M1699" i="26" s="1"/>
  <c r="O1699" i="26" s="1"/>
  <c r="K1699" i="26"/>
  <c r="G1699" i="26"/>
  <c r="L1698" i="26"/>
  <c r="K1698" i="26"/>
  <c r="G1698" i="26"/>
  <c r="L1697" i="26"/>
  <c r="K1697" i="26"/>
  <c r="G1697" i="26"/>
  <c r="L1696" i="26"/>
  <c r="K1696" i="26"/>
  <c r="G1696" i="26"/>
  <c r="L1695" i="26"/>
  <c r="M1695" i="26" s="1"/>
  <c r="O1695" i="26" s="1"/>
  <c r="K1695" i="26"/>
  <c r="G1695" i="26"/>
  <c r="L1694" i="26"/>
  <c r="K1694" i="26"/>
  <c r="G1694" i="26"/>
  <c r="L1693" i="26"/>
  <c r="K1693" i="26"/>
  <c r="G1693" i="26"/>
  <c r="M1693" i="26" s="1"/>
  <c r="O1693" i="26" s="1"/>
  <c r="L1692" i="26"/>
  <c r="K1692" i="26"/>
  <c r="G1692" i="26"/>
  <c r="L1691" i="26"/>
  <c r="M1691" i="26" s="1"/>
  <c r="O1691" i="26" s="1"/>
  <c r="K1691" i="26"/>
  <c r="G1691" i="26"/>
  <c r="L1690" i="26"/>
  <c r="K1690" i="26"/>
  <c r="G1690" i="26"/>
  <c r="L1689" i="26"/>
  <c r="K1689" i="26"/>
  <c r="G1689" i="26"/>
  <c r="L1688" i="26"/>
  <c r="K1688" i="26"/>
  <c r="G1688" i="26"/>
  <c r="L1687" i="26"/>
  <c r="K1687" i="26"/>
  <c r="G1687" i="26"/>
  <c r="L1686" i="26"/>
  <c r="K1686" i="26"/>
  <c r="G1686" i="26"/>
  <c r="L1685" i="26"/>
  <c r="K1685" i="26"/>
  <c r="G1685" i="26"/>
  <c r="L1684" i="26"/>
  <c r="K1684" i="26"/>
  <c r="G1684" i="26"/>
  <c r="L1683" i="26"/>
  <c r="K1683" i="26"/>
  <c r="G1683" i="26"/>
  <c r="M1683" i="26" s="1"/>
  <c r="O1683" i="26" s="1"/>
  <c r="L1682" i="26"/>
  <c r="K1682" i="26"/>
  <c r="G1682" i="26"/>
  <c r="M1682" i="26" s="1"/>
  <c r="O1682" i="26" s="1"/>
  <c r="L1681" i="26"/>
  <c r="M1681" i="26" s="1"/>
  <c r="O1681" i="26" s="1"/>
  <c r="K1681" i="26"/>
  <c r="L1680" i="26"/>
  <c r="K1680" i="26"/>
  <c r="L1679" i="26"/>
  <c r="M1679" i="26" s="1"/>
  <c r="O1679" i="26" s="1"/>
  <c r="K1679" i="26"/>
  <c r="L1678" i="26"/>
  <c r="M1678" i="26" s="1"/>
  <c r="O1678" i="26" s="1"/>
  <c r="K1678" i="26"/>
  <c r="L1677" i="26"/>
  <c r="M1677" i="26" s="1"/>
  <c r="O1677" i="26" s="1"/>
  <c r="K1677" i="26"/>
  <c r="L1676" i="26"/>
  <c r="M1676" i="26" s="1"/>
  <c r="O1676" i="26" s="1"/>
  <c r="K1676" i="26"/>
  <c r="L1675" i="26"/>
  <c r="K1675" i="26"/>
  <c r="M1674" i="26"/>
  <c r="O1674" i="26" s="1"/>
  <c r="L1674" i="26"/>
  <c r="K1674" i="26"/>
  <c r="L1673" i="26"/>
  <c r="K1673" i="26"/>
  <c r="L1672" i="26"/>
  <c r="M1672" i="26" s="1"/>
  <c r="O1672" i="26" s="1"/>
  <c r="K1672" i="26"/>
  <c r="M1671" i="26"/>
  <c r="O1671" i="26" s="1"/>
  <c r="L1671" i="26"/>
  <c r="K1671" i="26"/>
  <c r="L1670" i="26"/>
  <c r="K1670" i="26"/>
  <c r="L1669" i="26"/>
  <c r="K1669" i="26"/>
  <c r="L1668" i="26"/>
  <c r="M1668" i="26" s="1"/>
  <c r="O1668" i="26" s="1"/>
  <c r="K1668" i="26"/>
  <c r="L1667" i="26"/>
  <c r="K1667" i="26"/>
  <c r="M1667" i="26" s="1"/>
  <c r="L1666" i="26"/>
  <c r="M1666" i="26" s="1"/>
  <c r="O1666" i="26" s="1"/>
  <c r="K1666" i="26"/>
  <c r="L1665" i="26"/>
  <c r="K1665" i="26"/>
  <c r="L1664" i="26"/>
  <c r="M1664" i="26" s="1"/>
  <c r="O1664" i="26" s="1"/>
  <c r="K1664" i="26"/>
  <c r="L1663" i="26"/>
  <c r="M1663" i="26" s="1"/>
  <c r="O1663" i="26" s="1"/>
  <c r="K1663" i="26"/>
  <c r="L1662" i="26"/>
  <c r="M1662" i="26" s="1"/>
  <c r="O1662" i="26" s="1"/>
  <c r="K1662" i="26"/>
  <c r="L1661" i="26"/>
  <c r="M1661" i="26" s="1"/>
  <c r="O1661" i="26" s="1"/>
  <c r="K1661" i="26"/>
  <c r="L1660" i="26"/>
  <c r="K1660" i="26"/>
  <c r="M1659" i="26"/>
  <c r="O1659" i="26" s="1"/>
  <c r="L1659" i="26"/>
  <c r="K1659" i="26"/>
  <c r="L1658" i="26"/>
  <c r="K1658" i="26"/>
  <c r="M1658" i="26" s="1"/>
  <c r="O1658" i="26" s="1"/>
  <c r="L1657" i="26"/>
  <c r="K1657" i="26"/>
  <c r="G1657" i="26"/>
  <c r="M1657" i="26" s="1"/>
  <c r="O1657" i="26" s="1"/>
  <c r="L1656" i="26"/>
  <c r="K1656" i="26"/>
  <c r="G1656" i="26"/>
  <c r="L1655" i="26"/>
  <c r="K1655" i="26"/>
  <c r="G1655" i="26"/>
  <c r="L1654" i="26"/>
  <c r="K1654" i="26"/>
  <c r="G1654" i="26"/>
  <c r="L1653" i="26"/>
  <c r="K1653" i="26"/>
  <c r="G1653" i="26"/>
  <c r="M1653" i="26" s="1"/>
  <c r="O1653" i="26" s="1"/>
  <c r="L1652" i="26"/>
  <c r="K1652" i="26"/>
  <c r="G1652" i="26"/>
  <c r="L1651" i="26"/>
  <c r="K1651" i="26"/>
  <c r="G1651" i="26"/>
  <c r="L1650" i="26"/>
  <c r="K1650" i="26"/>
  <c r="G1650" i="26"/>
  <c r="L1649" i="26"/>
  <c r="K1649" i="26"/>
  <c r="G1649" i="26"/>
  <c r="M1649" i="26" s="1"/>
  <c r="O1649" i="26" s="1"/>
  <c r="L1648" i="26"/>
  <c r="K1648" i="26"/>
  <c r="G1648" i="26"/>
  <c r="L1647" i="26"/>
  <c r="K1647" i="26"/>
  <c r="G1647" i="26"/>
  <c r="L1646" i="26"/>
  <c r="K1646" i="26"/>
  <c r="G1646" i="26"/>
  <c r="L1645" i="26"/>
  <c r="K1645" i="26"/>
  <c r="G1645" i="26"/>
  <c r="L1644" i="26"/>
  <c r="M1644" i="26" s="1"/>
  <c r="O1644" i="26" s="1"/>
  <c r="K1644" i="26"/>
  <c r="G1644" i="26"/>
  <c r="L1643" i="26"/>
  <c r="K1643" i="26"/>
  <c r="G1643" i="26"/>
  <c r="M1643" i="26" s="1"/>
  <c r="O1643" i="26" s="1"/>
  <c r="L1642" i="26"/>
  <c r="K1642" i="26"/>
  <c r="G1642" i="26"/>
  <c r="L1641" i="26"/>
  <c r="K1641" i="26"/>
  <c r="G1641" i="26"/>
  <c r="L1640" i="26"/>
  <c r="M1640" i="26" s="1"/>
  <c r="O1640" i="26" s="1"/>
  <c r="K1640" i="26"/>
  <c r="G1640" i="26"/>
  <c r="L1639" i="26"/>
  <c r="K1639" i="26"/>
  <c r="G1639" i="26"/>
  <c r="M1639" i="26" s="1"/>
  <c r="O1639" i="26" s="1"/>
  <c r="L1638" i="26"/>
  <c r="K1638" i="26"/>
  <c r="G1638" i="26"/>
  <c r="L1637" i="26"/>
  <c r="K1637" i="26"/>
  <c r="G1637" i="26"/>
  <c r="L1636" i="26"/>
  <c r="K1636" i="26"/>
  <c r="G1636" i="26"/>
  <c r="L1635" i="26"/>
  <c r="K1635" i="26"/>
  <c r="G1635" i="26"/>
  <c r="L1634" i="26"/>
  <c r="K1634" i="26"/>
  <c r="G1634" i="26"/>
  <c r="M1634" i="26" s="1"/>
  <c r="O1634" i="26" s="1"/>
  <c r="L1633" i="26"/>
  <c r="K1633" i="26"/>
  <c r="G1633" i="26"/>
  <c r="L1632" i="26"/>
  <c r="K1632" i="26"/>
  <c r="G1632" i="26"/>
  <c r="L1631" i="26"/>
  <c r="K1631" i="26"/>
  <c r="G1631" i="26"/>
  <c r="L1630" i="26"/>
  <c r="K1630" i="26"/>
  <c r="G1630" i="26"/>
  <c r="M1630" i="26" s="1"/>
  <c r="O1630" i="26" s="1"/>
  <c r="L1629" i="26"/>
  <c r="K1629" i="26"/>
  <c r="G1629" i="26"/>
  <c r="M1628" i="26"/>
  <c r="O1628" i="26" s="1"/>
  <c r="L1628" i="26"/>
  <c r="K1628" i="26"/>
  <c r="G1628" i="26"/>
  <c r="L1627" i="26"/>
  <c r="M1627" i="26" s="1"/>
  <c r="O1627" i="26" s="1"/>
  <c r="K1627" i="26"/>
  <c r="G1627" i="26"/>
  <c r="L1626" i="26"/>
  <c r="M1626" i="26" s="1"/>
  <c r="O1626" i="26" s="1"/>
  <c r="K1626" i="26"/>
  <c r="G1626" i="26"/>
  <c r="L1625" i="26"/>
  <c r="K1625" i="26"/>
  <c r="G1625" i="26"/>
  <c r="L1624" i="26"/>
  <c r="K1624" i="26"/>
  <c r="G1624" i="26"/>
  <c r="M1624" i="26" s="1"/>
  <c r="O1624" i="26" s="1"/>
  <c r="L1623" i="26"/>
  <c r="K1623" i="26"/>
  <c r="G1623" i="26"/>
  <c r="M1622" i="26"/>
  <c r="O1622" i="26" s="1"/>
  <c r="L1622" i="26"/>
  <c r="K1622" i="26"/>
  <c r="G1622" i="26"/>
  <c r="L1621" i="26"/>
  <c r="K1621" i="26"/>
  <c r="L1620" i="26"/>
  <c r="K1620" i="26"/>
  <c r="L1619" i="26"/>
  <c r="K1619" i="26"/>
  <c r="M1619" i="26" s="1"/>
  <c r="L1618" i="26"/>
  <c r="K1618" i="26"/>
  <c r="L1617" i="26"/>
  <c r="K1617" i="26"/>
  <c r="L1616" i="26"/>
  <c r="K1616" i="26"/>
  <c r="L1615" i="26"/>
  <c r="M1615" i="26" s="1"/>
  <c r="O1615" i="26" s="1"/>
  <c r="K1615" i="26"/>
  <c r="L1614" i="26"/>
  <c r="M1614" i="26" s="1"/>
  <c r="O1614" i="26" s="1"/>
  <c r="K1614" i="26"/>
  <c r="L1613" i="26"/>
  <c r="K1613" i="26"/>
  <c r="L1612" i="26"/>
  <c r="M1612" i="26" s="1"/>
  <c r="O1612" i="26" s="1"/>
  <c r="K1612" i="26"/>
  <c r="L1611" i="26"/>
  <c r="M1611" i="26" s="1"/>
  <c r="O1611" i="26" s="1"/>
  <c r="K1611" i="26"/>
  <c r="L1610" i="26"/>
  <c r="K1610" i="26"/>
  <c r="M1610" i="26" s="1"/>
  <c r="O1610" i="26" s="1"/>
  <c r="L1609" i="26"/>
  <c r="M1609" i="26" s="1"/>
  <c r="O1609" i="26" s="1"/>
  <c r="K1609" i="26"/>
  <c r="G1609" i="26"/>
  <c r="L1608" i="26"/>
  <c r="K1608" i="26"/>
  <c r="G1608" i="26"/>
  <c r="L1607" i="26"/>
  <c r="K1607" i="26"/>
  <c r="G1607" i="26"/>
  <c r="L1606" i="26"/>
  <c r="K1606" i="26"/>
  <c r="G1606" i="26"/>
  <c r="M1606" i="26" s="1"/>
  <c r="O1606" i="26" s="1"/>
  <c r="L1605" i="26"/>
  <c r="K1605" i="26"/>
  <c r="G1605" i="26"/>
  <c r="L1604" i="26"/>
  <c r="K1604" i="26"/>
  <c r="G1604" i="26"/>
  <c r="M1604" i="26" s="1"/>
  <c r="O1604" i="26" s="1"/>
  <c r="L1603" i="26"/>
  <c r="K1603" i="26"/>
  <c r="G1603" i="26"/>
  <c r="L1602" i="26"/>
  <c r="K1602" i="26"/>
  <c r="G1602" i="26"/>
  <c r="L1601" i="26"/>
  <c r="K1601" i="26"/>
  <c r="G1601" i="26"/>
  <c r="L1600" i="26"/>
  <c r="K1600" i="26"/>
  <c r="G1600" i="26"/>
  <c r="L1599" i="26"/>
  <c r="K1599" i="26"/>
  <c r="G1599" i="26"/>
  <c r="L1598" i="26"/>
  <c r="K1598" i="26"/>
  <c r="G1598" i="26"/>
  <c r="M1598" i="26" s="1"/>
  <c r="O1598" i="26" s="1"/>
  <c r="L1597" i="26"/>
  <c r="M1597" i="26" s="1"/>
  <c r="O1597" i="26" s="1"/>
  <c r="K1597" i="26"/>
  <c r="G1597" i="26"/>
  <c r="L1596" i="26"/>
  <c r="K1596" i="26"/>
  <c r="G1596" i="26"/>
  <c r="L1595" i="26"/>
  <c r="K1595" i="26"/>
  <c r="G1595" i="26"/>
  <c r="L1594" i="26"/>
  <c r="K1594" i="26"/>
  <c r="G1594" i="26"/>
  <c r="L1593" i="26"/>
  <c r="K1593" i="26"/>
  <c r="G1593" i="26"/>
  <c r="L1592" i="26"/>
  <c r="K1592" i="26"/>
  <c r="G1592" i="26"/>
  <c r="M1592" i="26" s="1"/>
  <c r="O1592" i="26" s="1"/>
  <c r="L1591" i="26"/>
  <c r="K1591" i="26"/>
  <c r="G1591" i="26"/>
  <c r="L1590" i="26"/>
  <c r="K1590" i="26"/>
  <c r="G1590" i="26"/>
  <c r="L1589" i="26"/>
  <c r="K1589" i="26"/>
  <c r="G1589" i="26"/>
  <c r="L1588" i="26"/>
  <c r="K1588" i="26"/>
  <c r="G1588" i="26"/>
  <c r="M1588" i="26" s="1"/>
  <c r="O1588" i="26" s="1"/>
  <c r="L1587" i="26"/>
  <c r="K1587" i="26"/>
  <c r="G1587" i="26"/>
  <c r="L1586" i="26"/>
  <c r="K1586" i="26"/>
  <c r="G1586" i="26"/>
  <c r="L1585" i="26"/>
  <c r="M1585" i="26" s="1"/>
  <c r="O1585" i="26" s="1"/>
  <c r="K1585" i="26"/>
  <c r="G1585" i="26"/>
  <c r="L1584" i="26"/>
  <c r="K1584" i="26"/>
  <c r="G1584" i="26"/>
  <c r="L1583" i="26"/>
  <c r="M1583" i="26" s="1"/>
  <c r="O1583" i="26" s="1"/>
  <c r="K1583" i="26"/>
  <c r="G1583" i="26"/>
  <c r="L1582" i="26"/>
  <c r="K1582" i="26"/>
  <c r="G1582" i="26"/>
  <c r="L1581" i="26"/>
  <c r="K1581" i="26"/>
  <c r="G1581" i="26"/>
  <c r="M1581" i="26" s="1"/>
  <c r="O1581" i="26" s="1"/>
  <c r="L1580" i="26"/>
  <c r="K1580" i="26"/>
  <c r="G1580" i="26"/>
  <c r="L1579" i="26"/>
  <c r="M1579" i="26" s="1"/>
  <c r="O1579" i="26" s="1"/>
  <c r="K1579" i="26"/>
  <c r="G1579" i="26"/>
  <c r="L1578" i="26"/>
  <c r="K1578" i="26"/>
  <c r="G1578" i="26"/>
  <c r="L1577" i="26"/>
  <c r="K1577" i="26"/>
  <c r="G1577" i="26"/>
  <c r="L1576" i="26"/>
  <c r="K1576" i="26"/>
  <c r="G1576" i="26"/>
  <c r="L1575" i="26"/>
  <c r="M1575" i="26" s="1"/>
  <c r="O1575" i="26" s="1"/>
  <c r="K1575" i="26"/>
  <c r="G1575" i="26"/>
  <c r="L1574" i="26"/>
  <c r="K1574" i="26"/>
  <c r="G1574" i="26"/>
  <c r="L1573" i="26"/>
  <c r="K1573" i="26"/>
  <c r="L1572" i="26"/>
  <c r="K1572" i="26"/>
  <c r="L1571" i="26"/>
  <c r="M1571" i="26" s="1"/>
  <c r="O1571" i="26" s="1"/>
  <c r="K1571" i="26"/>
  <c r="L1570" i="26"/>
  <c r="M1570" i="26" s="1"/>
  <c r="O1570" i="26" s="1"/>
  <c r="K1570" i="26"/>
  <c r="L1569" i="26"/>
  <c r="K1569" i="26"/>
  <c r="M1569" i="26" s="1"/>
  <c r="O1569" i="26" s="1"/>
  <c r="L1568" i="26"/>
  <c r="K1568" i="26"/>
  <c r="L1567" i="26"/>
  <c r="K1567" i="26"/>
  <c r="L1566" i="26"/>
  <c r="M1566" i="26" s="1"/>
  <c r="O1566" i="26" s="1"/>
  <c r="K1566" i="26"/>
  <c r="L1565" i="26"/>
  <c r="K1565" i="26"/>
  <c r="M1565" i="26" s="1"/>
  <c r="O1565" i="26" s="1"/>
  <c r="L1564" i="26"/>
  <c r="M1564" i="26" s="1"/>
  <c r="O1564" i="26" s="1"/>
  <c r="K1564" i="26"/>
  <c r="L1563" i="26"/>
  <c r="K1563" i="26"/>
  <c r="L1562" i="26"/>
  <c r="K1562" i="26"/>
  <c r="L1561" i="26"/>
  <c r="K1561" i="26"/>
  <c r="G1561" i="26"/>
  <c r="L1560" i="26"/>
  <c r="M1560" i="26" s="1"/>
  <c r="O1560" i="26" s="1"/>
  <c r="K1560" i="26"/>
  <c r="G1560" i="26"/>
  <c r="L1559" i="26"/>
  <c r="K1559" i="26"/>
  <c r="G1559" i="26"/>
  <c r="L1558" i="26"/>
  <c r="K1558" i="26"/>
  <c r="G1558" i="26"/>
  <c r="M1558" i="26" s="1"/>
  <c r="O1558" i="26" s="1"/>
  <c r="L1557" i="26"/>
  <c r="K1557" i="26"/>
  <c r="G1557" i="26"/>
  <c r="L1556" i="26"/>
  <c r="K1556" i="26"/>
  <c r="G1556" i="26"/>
  <c r="L1555" i="26"/>
  <c r="K1555" i="26"/>
  <c r="G1555" i="26"/>
  <c r="L1554" i="26"/>
  <c r="M1554" i="26" s="1"/>
  <c r="O1554" i="26" s="1"/>
  <c r="K1554" i="26"/>
  <c r="G1554" i="26"/>
  <c r="L1553" i="26"/>
  <c r="K1553" i="26"/>
  <c r="G1553" i="26"/>
  <c r="L1552" i="26"/>
  <c r="K1552" i="26"/>
  <c r="G1552" i="26"/>
  <c r="M1552" i="26" s="1"/>
  <c r="O1552" i="26" s="1"/>
  <c r="L1551" i="26"/>
  <c r="K1551" i="26"/>
  <c r="G1551" i="26"/>
  <c r="L1550" i="26"/>
  <c r="K1550" i="26"/>
  <c r="G1550" i="26"/>
  <c r="L1549" i="26"/>
  <c r="K1549" i="26"/>
  <c r="M1548" i="26"/>
  <c r="O1548" i="26" s="1"/>
  <c r="L1548" i="26"/>
  <c r="K1548" i="26"/>
  <c r="L1547" i="26"/>
  <c r="K1547" i="26"/>
  <c r="M1547" i="26" s="1"/>
  <c r="O1547" i="26" s="1"/>
  <c r="L1546" i="26"/>
  <c r="K1546" i="26"/>
  <c r="L1545" i="26"/>
  <c r="M1545" i="26" s="1"/>
  <c r="O1545" i="26" s="1"/>
  <c r="K1545" i="26"/>
  <c r="L1544" i="26"/>
  <c r="M1544" i="26" s="1"/>
  <c r="O1544" i="26" s="1"/>
  <c r="K1544" i="26"/>
  <c r="L1543" i="26"/>
  <c r="K1543" i="26"/>
  <c r="M1543" i="26" s="1"/>
  <c r="O1543" i="26" s="1"/>
  <c r="L1542" i="26"/>
  <c r="K1542" i="26"/>
  <c r="L1541" i="26"/>
  <c r="K1541" i="26"/>
  <c r="L1540" i="26"/>
  <c r="M1540" i="26" s="1"/>
  <c r="O1540" i="26" s="1"/>
  <c r="K1540" i="26"/>
  <c r="L1539" i="26"/>
  <c r="K1539" i="26"/>
  <c r="M1539" i="26" s="1"/>
  <c r="O1539" i="26" s="1"/>
  <c r="L1538" i="26"/>
  <c r="M1538" i="26" s="1"/>
  <c r="O1538" i="26" s="1"/>
  <c r="K1538" i="26"/>
  <c r="L1537" i="26"/>
  <c r="M1537" i="26" s="1"/>
  <c r="O1537" i="26" s="1"/>
  <c r="K1537" i="26"/>
  <c r="G1537" i="26"/>
  <c r="L1536" i="26"/>
  <c r="K1536" i="26"/>
  <c r="G1536" i="26"/>
  <c r="L1535" i="26"/>
  <c r="K1535" i="26"/>
  <c r="G1535" i="26"/>
  <c r="M1535" i="26" s="1"/>
  <c r="O1535" i="26" s="1"/>
  <c r="L1534" i="26"/>
  <c r="K1534" i="26"/>
  <c r="G1534" i="26"/>
  <c r="M1533" i="26"/>
  <c r="O1533" i="26" s="1"/>
  <c r="L1533" i="26"/>
  <c r="K1533" i="26"/>
  <c r="G1533" i="26"/>
  <c r="L1532" i="26"/>
  <c r="K1532" i="26"/>
  <c r="G1532" i="26"/>
  <c r="L1531" i="26"/>
  <c r="K1531" i="26"/>
  <c r="G1531" i="26"/>
  <c r="L1530" i="26"/>
  <c r="K1530" i="26"/>
  <c r="G1530" i="26"/>
  <c r="L1529" i="26"/>
  <c r="K1529" i="26"/>
  <c r="G1529" i="26"/>
  <c r="L1528" i="26"/>
  <c r="M1528" i="26" s="1"/>
  <c r="O1528" i="26" s="1"/>
  <c r="K1528" i="26"/>
  <c r="G1528" i="26"/>
  <c r="L1527" i="26"/>
  <c r="K1527" i="26"/>
  <c r="G1527" i="26"/>
  <c r="L1526" i="26"/>
  <c r="K1526" i="26"/>
  <c r="G1526" i="26"/>
  <c r="L1525" i="26"/>
  <c r="K1525" i="26"/>
  <c r="G1525" i="26"/>
  <c r="L1524" i="26"/>
  <c r="K1524" i="26"/>
  <c r="G1524" i="26"/>
  <c r="L1523" i="26"/>
  <c r="K1523" i="26"/>
  <c r="G1523" i="26"/>
  <c r="M1523" i="26" s="1"/>
  <c r="O1523" i="26" s="1"/>
  <c r="L1522" i="26"/>
  <c r="K1522" i="26"/>
  <c r="G1522" i="26"/>
  <c r="M1522" i="26" s="1"/>
  <c r="O1522" i="26" s="1"/>
  <c r="L1521" i="26"/>
  <c r="K1521" i="26"/>
  <c r="G1521" i="26"/>
  <c r="L1520" i="26"/>
  <c r="M1520" i="26" s="1"/>
  <c r="O1520" i="26" s="1"/>
  <c r="K1520" i="26"/>
  <c r="G1520" i="26"/>
  <c r="L1519" i="26"/>
  <c r="K1519" i="26"/>
  <c r="G1519" i="26"/>
  <c r="L1518" i="26"/>
  <c r="K1518" i="26"/>
  <c r="G1518" i="26"/>
  <c r="L1517" i="26"/>
  <c r="M1517" i="26" s="1"/>
  <c r="O1517" i="26" s="1"/>
  <c r="K1517" i="26"/>
  <c r="G1517" i="26"/>
  <c r="L1516" i="26"/>
  <c r="K1516" i="26"/>
  <c r="G1516" i="26"/>
  <c r="L1515" i="26"/>
  <c r="K1515" i="26"/>
  <c r="G1515" i="26"/>
  <c r="M1515" i="26" s="1"/>
  <c r="O1515" i="26" s="1"/>
  <c r="L1514" i="26"/>
  <c r="K1514" i="26"/>
  <c r="G1514" i="26"/>
  <c r="L1513" i="26"/>
  <c r="K1513" i="26"/>
  <c r="G1513" i="26"/>
  <c r="L1512" i="26"/>
  <c r="K1512" i="26"/>
  <c r="G1512" i="26"/>
  <c r="L1511" i="26"/>
  <c r="K1511" i="26"/>
  <c r="G1511" i="26"/>
  <c r="L1510" i="26"/>
  <c r="K1510" i="26"/>
  <c r="G1510" i="26"/>
  <c r="L1509" i="26"/>
  <c r="K1509" i="26"/>
  <c r="G1509" i="26"/>
  <c r="L1508" i="26"/>
  <c r="K1508" i="26"/>
  <c r="G1508" i="26"/>
  <c r="L1507" i="26"/>
  <c r="K1507" i="26"/>
  <c r="G1507" i="26"/>
  <c r="L1506" i="26"/>
  <c r="K1506" i="26"/>
  <c r="G1506" i="26"/>
  <c r="L1505" i="26"/>
  <c r="K1505" i="26"/>
  <c r="G1505" i="26"/>
  <c r="L1504" i="26"/>
  <c r="K1504" i="26"/>
  <c r="G1504" i="26"/>
  <c r="L1503" i="26"/>
  <c r="K1503" i="26"/>
  <c r="G1503" i="26"/>
  <c r="L1502" i="26"/>
  <c r="K1502" i="26"/>
  <c r="G1502" i="26"/>
  <c r="L1501" i="26"/>
  <c r="K1501" i="26"/>
  <c r="G1501" i="26"/>
  <c r="L1500" i="26"/>
  <c r="K1500" i="26"/>
  <c r="G1500" i="26"/>
  <c r="L1499" i="26"/>
  <c r="K1499" i="26"/>
  <c r="G1499" i="26"/>
  <c r="L1498" i="26"/>
  <c r="K1498" i="26"/>
  <c r="G1498" i="26"/>
  <c r="M1498" i="26" s="1"/>
  <c r="O1498" i="26" s="1"/>
  <c r="L1497" i="26"/>
  <c r="K1497" i="26"/>
  <c r="G1497" i="26"/>
  <c r="L1496" i="26"/>
  <c r="K1496" i="26"/>
  <c r="G1496" i="26"/>
  <c r="M1496" i="26" s="1"/>
  <c r="O1496" i="26" s="1"/>
  <c r="L1495" i="26"/>
  <c r="K1495" i="26"/>
  <c r="G1495" i="26"/>
  <c r="M1495" i="26" s="1"/>
  <c r="O1495" i="26" s="1"/>
  <c r="L1494" i="26"/>
  <c r="K1494" i="26"/>
  <c r="G1494" i="26"/>
  <c r="L1493" i="26"/>
  <c r="K1493" i="26"/>
  <c r="G1493" i="26"/>
  <c r="L1492" i="26"/>
  <c r="K1492" i="26"/>
  <c r="G1492" i="26"/>
  <c r="L1491" i="26"/>
  <c r="K1491" i="26"/>
  <c r="G1491" i="26"/>
  <c r="L1490" i="26"/>
  <c r="K1490" i="26"/>
  <c r="G1490" i="26"/>
  <c r="L1489" i="26"/>
  <c r="K1489" i="26"/>
  <c r="G1489" i="26"/>
  <c r="L1488" i="26"/>
  <c r="K1488" i="26"/>
  <c r="G1488" i="26"/>
  <c r="L1487" i="26"/>
  <c r="K1487" i="26"/>
  <c r="G1487" i="26"/>
  <c r="L1486" i="26"/>
  <c r="K1486" i="26"/>
  <c r="G1486" i="26"/>
  <c r="L1485" i="26"/>
  <c r="K1485" i="26"/>
  <c r="G1485" i="26"/>
  <c r="L1484" i="26"/>
  <c r="K1484" i="26"/>
  <c r="G1484" i="26"/>
  <c r="L1483" i="26"/>
  <c r="K1483" i="26"/>
  <c r="G1483" i="26"/>
  <c r="L1482" i="26"/>
  <c r="K1482" i="26"/>
  <c r="G1482" i="26"/>
  <c r="L1481" i="26"/>
  <c r="K1481" i="26"/>
  <c r="G1481" i="26"/>
  <c r="L1480" i="26"/>
  <c r="K1480" i="26"/>
  <c r="G1480" i="26"/>
  <c r="L1479" i="26"/>
  <c r="K1479" i="26"/>
  <c r="G1479" i="26"/>
  <c r="L1478" i="26"/>
  <c r="K1478" i="26"/>
  <c r="G1478" i="26"/>
  <c r="L1477" i="26"/>
  <c r="M1477" i="26" s="1"/>
  <c r="O1477" i="26" s="1"/>
  <c r="K1477" i="26"/>
  <c r="G1477" i="26"/>
  <c r="L1476" i="26"/>
  <c r="K1476" i="26"/>
  <c r="G1476" i="26"/>
  <c r="L1475" i="26"/>
  <c r="K1475" i="26"/>
  <c r="G1475" i="26"/>
  <c r="L1474" i="26"/>
  <c r="K1474" i="26"/>
  <c r="G1474" i="26"/>
  <c r="L1473" i="26"/>
  <c r="K1473" i="26"/>
  <c r="G1473" i="26"/>
  <c r="L1472" i="26"/>
  <c r="K1472" i="26"/>
  <c r="G1472" i="26"/>
  <c r="L1471" i="26"/>
  <c r="K1471" i="26"/>
  <c r="G1471" i="26"/>
  <c r="L1470" i="26"/>
  <c r="K1470" i="26"/>
  <c r="G1470" i="26"/>
  <c r="L1469" i="26"/>
  <c r="K1469" i="26"/>
  <c r="G1469" i="26"/>
  <c r="M1469" i="26" s="1"/>
  <c r="O1469" i="26" s="1"/>
  <c r="L1468" i="26"/>
  <c r="K1468" i="26"/>
  <c r="G1468" i="26"/>
  <c r="M1468" i="26" s="1"/>
  <c r="O1468" i="26" s="1"/>
  <c r="L1467" i="26"/>
  <c r="K1467" i="26"/>
  <c r="G1467" i="26"/>
  <c r="L1466" i="26"/>
  <c r="K1466" i="26"/>
  <c r="G1466" i="26"/>
  <c r="M1466" i="26" s="1"/>
  <c r="O1466" i="26" s="1"/>
  <c r="L1465" i="26"/>
  <c r="K1465" i="26"/>
  <c r="L1464" i="26"/>
  <c r="K1464" i="26"/>
  <c r="L1463" i="26"/>
  <c r="K1463" i="26"/>
  <c r="L1462" i="26"/>
  <c r="K1462" i="26"/>
  <c r="L1461" i="26"/>
  <c r="M1461" i="26" s="1"/>
  <c r="O1461" i="26" s="1"/>
  <c r="K1461" i="26"/>
  <c r="L1460" i="26"/>
  <c r="M1460" i="26" s="1"/>
  <c r="O1460" i="26" s="1"/>
  <c r="K1460" i="26"/>
  <c r="L1459" i="26"/>
  <c r="K1459" i="26"/>
  <c r="L1458" i="26"/>
  <c r="K1458" i="26"/>
  <c r="L1457" i="26"/>
  <c r="K1457" i="26"/>
  <c r="M1457" i="26" s="1"/>
  <c r="O1457" i="26" s="1"/>
  <c r="M1456" i="26"/>
  <c r="O1456" i="26" s="1"/>
  <c r="L1456" i="26"/>
  <c r="K1456" i="26"/>
  <c r="L1455" i="26"/>
  <c r="K1455" i="26"/>
  <c r="L1454" i="26"/>
  <c r="K1454" i="26"/>
  <c r="M1454" i="26" s="1"/>
  <c r="O1454" i="26" s="1"/>
  <c r="M1453" i="26"/>
  <c r="O1453" i="26" s="1"/>
  <c r="L1453" i="26"/>
  <c r="K1453" i="26"/>
  <c r="L1452" i="26"/>
  <c r="K1452" i="26"/>
  <c r="L1451" i="26"/>
  <c r="M1451" i="26" s="1"/>
  <c r="O1451" i="26" s="1"/>
  <c r="K1451" i="26"/>
  <c r="L1450" i="26"/>
  <c r="M1450" i="26" s="1"/>
  <c r="O1450" i="26" s="1"/>
  <c r="K1450" i="26"/>
  <c r="L1449" i="26"/>
  <c r="K1449" i="26"/>
  <c r="M1449" i="26" s="1"/>
  <c r="O1449" i="26" s="1"/>
  <c r="L1448" i="26"/>
  <c r="K1448" i="26"/>
  <c r="L1447" i="26"/>
  <c r="K1447" i="26"/>
  <c r="M1446" i="26"/>
  <c r="O1446" i="26" s="1"/>
  <c r="L1446" i="26"/>
  <c r="K1446" i="26"/>
  <c r="M1445" i="26"/>
  <c r="O1445" i="26" s="1"/>
  <c r="L1445" i="26"/>
  <c r="K1445" i="26"/>
  <c r="L1444" i="26"/>
  <c r="K1444" i="26"/>
  <c r="L1443" i="26"/>
  <c r="M1443" i="26" s="1"/>
  <c r="O1443" i="26" s="1"/>
  <c r="K1443" i="26"/>
  <c r="L1442" i="26"/>
  <c r="M1442" i="26" s="1"/>
  <c r="O1442" i="26" s="1"/>
  <c r="K1442" i="26"/>
  <c r="L1441" i="26"/>
  <c r="K1441" i="26"/>
  <c r="G1441" i="26"/>
  <c r="L1440" i="26"/>
  <c r="K1440" i="26"/>
  <c r="G1440" i="26"/>
  <c r="L1439" i="26"/>
  <c r="K1439" i="26"/>
  <c r="G1439" i="26"/>
  <c r="L1438" i="26"/>
  <c r="K1438" i="26"/>
  <c r="G1438" i="26"/>
  <c r="L1437" i="26"/>
  <c r="K1437" i="26"/>
  <c r="G1437" i="26"/>
  <c r="L1436" i="26"/>
  <c r="K1436" i="26"/>
  <c r="G1436" i="26"/>
  <c r="L1435" i="26"/>
  <c r="K1435" i="26"/>
  <c r="G1435" i="26"/>
  <c r="L1434" i="26"/>
  <c r="K1434" i="26"/>
  <c r="G1434" i="26"/>
  <c r="L1433" i="26"/>
  <c r="K1433" i="26"/>
  <c r="G1433" i="26"/>
  <c r="L1432" i="26"/>
  <c r="K1432" i="26"/>
  <c r="G1432" i="26"/>
  <c r="M1432" i="26" s="1"/>
  <c r="O1432" i="26" s="1"/>
  <c r="L1431" i="26"/>
  <c r="K1431" i="26"/>
  <c r="G1431" i="26"/>
  <c r="L1430" i="26"/>
  <c r="K1430" i="26"/>
  <c r="G1430" i="26"/>
  <c r="M1430" i="26" s="1"/>
  <c r="O1430" i="26" s="1"/>
  <c r="M1429" i="26"/>
  <c r="O1429" i="26" s="1"/>
  <c r="L1429" i="26"/>
  <c r="K1429" i="26"/>
  <c r="M1428" i="26"/>
  <c r="O1428" i="26" s="1"/>
  <c r="L1428" i="26"/>
  <c r="K1428" i="26"/>
  <c r="L1427" i="26"/>
  <c r="K1427" i="26"/>
  <c r="M1427" i="26" s="1"/>
  <c r="O1427" i="26" s="1"/>
  <c r="L1426" i="26"/>
  <c r="K1426" i="26"/>
  <c r="L1425" i="26"/>
  <c r="K1425" i="26"/>
  <c r="L1424" i="26"/>
  <c r="M1424" i="26" s="1"/>
  <c r="O1424" i="26" s="1"/>
  <c r="K1424" i="26"/>
  <c r="L1423" i="26"/>
  <c r="K1423" i="26"/>
  <c r="M1423" i="26" s="1"/>
  <c r="O1423" i="26" s="1"/>
  <c r="L1422" i="26"/>
  <c r="K1422" i="26"/>
  <c r="L1421" i="26"/>
  <c r="K1421" i="26"/>
  <c r="L1420" i="26"/>
  <c r="M1420" i="26" s="1"/>
  <c r="O1420" i="26" s="1"/>
  <c r="K1420" i="26"/>
  <c r="L1419" i="26"/>
  <c r="M1419" i="26" s="1"/>
  <c r="O1419" i="26" s="1"/>
  <c r="K1419" i="26"/>
  <c r="L1418" i="26"/>
  <c r="M1418" i="26" s="1"/>
  <c r="O1418" i="26" s="1"/>
  <c r="K1418" i="26"/>
  <c r="L1417" i="26"/>
  <c r="K1417" i="26"/>
  <c r="G1417" i="26"/>
  <c r="M1417" i="26" s="1"/>
  <c r="O1417" i="26" s="1"/>
  <c r="L1416" i="26"/>
  <c r="K1416" i="26"/>
  <c r="G1416" i="26"/>
  <c r="L1415" i="26"/>
  <c r="M1415" i="26" s="1"/>
  <c r="O1415" i="26" s="1"/>
  <c r="K1415" i="26"/>
  <c r="G1415" i="26"/>
  <c r="L1414" i="26"/>
  <c r="K1414" i="26"/>
  <c r="G1414" i="26"/>
  <c r="L1413" i="26"/>
  <c r="K1413" i="26"/>
  <c r="G1413" i="26"/>
  <c r="L1412" i="26"/>
  <c r="K1412" i="26"/>
  <c r="G1412" i="26"/>
  <c r="L1411" i="26"/>
  <c r="M1411" i="26" s="1"/>
  <c r="O1411" i="26" s="1"/>
  <c r="K1411" i="26"/>
  <c r="G1411" i="26"/>
  <c r="L1410" i="26"/>
  <c r="M1410" i="26" s="1"/>
  <c r="O1410" i="26" s="1"/>
  <c r="K1410" i="26"/>
  <c r="G1410" i="26"/>
  <c r="L1409" i="26"/>
  <c r="K1409" i="26"/>
  <c r="G1409" i="26"/>
  <c r="L1408" i="26"/>
  <c r="K1408" i="26"/>
  <c r="G1408" i="26"/>
  <c r="L1407" i="26"/>
  <c r="K1407" i="26"/>
  <c r="G1407" i="26"/>
  <c r="L1406" i="26"/>
  <c r="K1406" i="26"/>
  <c r="G1406" i="26"/>
  <c r="M1406" i="26" s="1"/>
  <c r="O1406" i="26" s="1"/>
  <c r="L1405" i="26"/>
  <c r="K1405" i="26"/>
  <c r="G1405" i="26"/>
  <c r="L1404" i="26"/>
  <c r="K1404" i="26"/>
  <c r="G1404" i="26"/>
  <c r="L1403" i="26"/>
  <c r="K1403" i="26"/>
  <c r="G1403" i="26"/>
  <c r="L1402" i="26"/>
  <c r="K1402" i="26"/>
  <c r="G1402" i="26"/>
  <c r="L1401" i="26"/>
  <c r="K1401" i="26"/>
  <c r="G1401" i="26"/>
  <c r="M1401" i="26" s="1"/>
  <c r="O1401" i="26" s="1"/>
  <c r="L1400" i="26"/>
  <c r="K1400" i="26"/>
  <c r="G1400" i="26"/>
  <c r="M1399" i="26"/>
  <c r="O1399" i="26" s="1"/>
  <c r="L1399" i="26"/>
  <c r="K1399" i="26"/>
  <c r="G1399" i="26"/>
  <c r="M1398" i="26"/>
  <c r="O1398" i="26" s="1"/>
  <c r="L1398" i="26"/>
  <c r="K1398" i="26"/>
  <c r="G1398" i="26"/>
  <c r="L1397" i="26"/>
  <c r="K1397" i="26"/>
  <c r="G1397" i="26"/>
  <c r="L1396" i="26"/>
  <c r="K1396" i="26"/>
  <c r="G1396" i="26"/>
  <c r="L1395" i="26"/>
  <c r="K1395" i="26"/>
  <c r="G1395" i="26"/>
  <c r="M1395" i="26" s="1"/>
  <c r="O1395" i="26" s="1"/>
  <c r="L1394" i="26"/>
  <c r="K1394" i="26"/>
  <c r="G1394" i="26"/>
  <c r="L1393" i="26"/>
  <c r="K1393" i="26"/>
  <c r="G1393" i="26"/>
  <c r="L1392" i="26"/>
  <c r="K1392" i="26"/>
  <c r="G1392" i="26"/>
  <c r="L1391" i="26"/>
  <c r="K1391" i="26"/>
  <c r="G1391" i="26"/>
  <c r="L1390" i="26"/>
  <c r="K1390" i="26"/>
  <c r="G1390" i="26"/>
  <c r="L1389" i="26"/>
  <c r="K1389" i="26"/>
  <c r="G1389" i="26"/>
  <c r="L1388" i="26"/>
  <c r="K1388" i="26"/>
  <c r="G1388" i="26"/>
  <c r="L1387" i="26"/>
  <c r="K1387" i="26"/>
  <c r="G1387" i="26"/>
  <c r="L1386" i="26"/>
  <c r="K1386" i="26"/>
  <c r="G1386" i="26"/>
  <c r="L1385" i="26"/>
  <c r="K1385" i="26"/>
  <c r="G1385" i="26"/>
  <c r="L1384" i="26"/>
  <c r="K1384" i="26"/>
  <c r="G1384" i="26"/>
  <c r="L1383" i="26"/>
  <c r="K1383" i="26"/>
  <c r="G1383" i="26"/>
  <c r="L1382" i="26"/>
  <c r="K1382" i="26"/>
  <c r="G1382" i="26"/>
  <c r="M1382" i="26" s="1"/>
  <c r="O1382" i="26" s="1"/>
  <c r="L1381" i="26"/>
  <c r="M1381" i="26" s="1"/>
  <c r="O1381" i="26" s="1"/>
  <c r="K1381" i="26"/>
  <c r="L1380" i="26"/>
  <c r="K1380" i="26"/>
  <c r="L1379" i="26"/>
  <c r="K1379" i="26"/>
  <c r="L1378" i="26"/>
  <c r="K1378" i="26"/>
  <c r="L1377" i="26"/>
  <c r="K1377" i="26"/>
  <c r="L1376" i="26"/>
  <c r="K1376" i="26"/>
  <c r="M1375" i="26"/>
  <c r="O1375" i="26" s="1"/>
  <c r="L1375" i="26"/>
  <c r="K1375" i="26"/>
  <c r="L1374" i="26"/>
  <c r="M1374" i="26" s="1"/>
  <c r="O1374" i="26" s="1"/>
  <c r="K1374" i="26"/>
  <c r="L1373" i="26"/>
  <c r="K1373" i="26"/>
  <c r="L1372" i="26"/>
  <c r="M1372" i="26" s="1"/>
  <c r="O1372" i="26" s="1"/>
  <c r="K1372" i="26"/>
  <c r="L1371" i="26"/>
  <c r="M1371" i="26" s="1"/>
  <c r="O1371" i="26" s="1"/>
  <c r="K1371" i="26"/>
  <c r="L1370" i="26"/>
  <c r="M1370" i="26" s="1"/>
  <c r="O1370" i="26" s="1"/>
  <c r="K1370" i="26"/>
  <c r="L1369" i="26"/>
  <c r="K1369" i="26"/>
  <c r="G1369" i="26"/>
  <c r="L1368" i="26"/>
  <c r="K1368" i="26"/>
  <c r="G1368" i="26"/>
  <c r="L1367" i="26"/>
  <c r="M1367" i="26" s="1"/>
  <c r="O1367" i="26" s="1"/>
  <c r="K1367" i="26"/>
  <c r="G1367" i="26"/>
  <c r="L1366" i="26"/>
  <c r="K1366" i="26"/>
  <c r="G1366" i="26"/>
  <c r="L1365" i="26"/>
  <c r="K1365" i="26"/>
  <c r="G1365" i="26"/>
  <c r="L1364" i="26"/>
  <c r="K1364" i="26"/>
  <c r="G1364" i="26"/>
  <c r="L1363" i="26"/>
  <c r="M1363" i="26" s="1"/>
  <c r="O1363" i="26" s="1"/>
  <c r="K1363" i="26"/>
  <c r="G1363" i="26"/>
  <c r="L1362" i="26"/>
  <c r="K1362" i="26"/>
  <c r="G1362" i="26"/>
  <c r="L1361" i="26"/>
  <c r="K1361" i="26"/>
  <c r="G1361" i="26"/>
  <c r="L1360" i="26"/>
  <c r="K1360" i="26"/>
  <c r="G1360" i="26"/>
  <c r="L1359" i="26"/>
  <c r="M1359" i="26" s="1"/>
  <c r="O1359" i="26" s="1"/>
  <c r="K1359" i="26"/>
  <c r="G1359" i="26"/>
  <c r="L1358" i="26"/>
  <c r="K1358" i="26"/>
  <c r="G1358" i="26"/>
  <c r="L1357" i="26"/>
  <c r="M1357" i="26" s="1"/>
  <c r="O1357" i="26" s="1"/>
  <c r="K1357" i="26"/>
  <c r="L1356" i="26"/>
  <c r="K1356" i="26"/>
  <c r="M1355" i="26"/>
  <c r="O1355" i="26" s="1"/>
  <c r="L1355" i="26"/>
  <c r="K1355" i="26"/>
  <c r="L1354" i="26"/>
  <c r="M1354" i="26" s="1"/>
  <c r="O1354" i="26" s="1"/>
  <c r="K1354" i="26"/>
  <c r="L1353" i="26"/>
  <c r="M1353" i="26" s="1"/>
  <c r="O1353" i="26" s="1"/>
  <c r="K1353" i="26"/>
  <c r="L1352" i="26"/>
  <c r="K1352" i="26"/>
  <c r="L1351" i="26"/>
  <c r="M1351" i="26" s="1"/>
  <c r="O1351" i="26" s="1"/>
  <c r="K1351" i="26"/>
  <c r="L1350" i="26"/>
  <c r="M1350" i="26" s="1"/>
  <c r="O1350" i="26" s="1"/>
  <c r="K1350" i="26"/>
  <c r="L1349" i="26"/>
  <c r="K1349" i="26"/>
  <c r="L1348" i="26"/>
  <c r="K1348" i="26"/>
  <c r="L1347" i="26"/>
  <c r="K1347" i="26"/>
  <c r="L1346" i="26"/>
  <c r="K1346" i="26"/>
  <c r="L1345" i="26"/>
  <c r="K1345" i="26"/>
  <c r="G1345" i="26"/>
  <c r="M1345" i="26" s="1"/>
  <c r="O1345" i="26" s="1"/>
  <c r="L1344" i="26"/>
  <c r="K1344" i="26"/>
  <c r="G1344" i="26"/>
  <c r="M1343" i="26"/>
  <c r="O1343" i="26" s="1"/>
  <c r="L1343" i="26"/>
  <c r="K1343" i="26"/>
  <c r="G1343" i="26"/>
  <c r="L1342" i="26"/>
  <c r="K1342" i="26"/>
  <c r="G1342" i="26"/>
  <c r="L1341" i="26"/>
  <c r="K1341" i="26"/>
  <c r="G1341" i="26"/>
  <c r="L1340" i="26"/>
  <c r="K1340" i="26"/>
  <c r="G1340" i="26"/>
  <c r="L1339" i="26"/>
  <c r="K1339" i="26"/>
  <c r="G1339" i="26"/>
  <c r="L1338" i="26"/>
  <c r="K1338" i="26"/>
  <c r="G1338" i="26"/>
  <c r="L1337" i="26"/>
  <c r="M1337" i="26" s="1"/>
  <c r="O1337" i="26" s="1"/>
  <c r="K1337" i="26"/>
  <c r="G1337" i="26"/>
  <c r="L1336" i="26"/>
  <c r="K1336" i="26"/>
  <c r="G1336" i="26"/>
  <c r="L1335" i="26"/>
  <c r="K1335" i="26"/>
  <c r="G1335" i="26"/>
  <c r="L1334" i="26"/>
  <c r="K1334" i="26"/>
  <c r="G1334" i="26"/>
  <c r="M1333" i="26"/>
  <c r="O1333" i="26" s="1"/>
  <c r="L1333" i="26"/>
  <c r="K1333" i="26"/>
  <c r="L1332" i="26"/>
  <c r="M1332" i="26" s="1"/>
  <c r="O1332" i="26" s="1"/>
  <c r="K1332" i="26"/>
  <c r="L1331" i="26"/>
  <c r="K1331" i="26"/>
  <c r="M1330" i="26"/>
  <c r="O1330" i="26" s="1"/>
  <c r="L1330" i="26"/>
  <c r="K1330" i="26"/>
  <c r="L1329" i="26"/>
  <c r="M1329" i="26" s="1"/>
  <c r="O1329" i="26" s="1"/>
  <c r="K1329" i="26"/>
  <c r="L1328" i="26"/>
  <c r="K1328" i="26"/>
  <c r="L1327" i="26"/>
  <c r="M1327" i="26" s="1"/>
  <c r="O1327" i="26" s="1"/>
  <c r="K1327" i="26"/>
  <c r="L1326" i="26"/>
  <c r="K1326" i="26"/>
  <c r="M1326" i="26" s="1"/>
  <c r="O1326" i="26" s="1"/>
  <c r="M1325" i="26"/>
  <c r="O1325" i="26" s="1"/>
  <c r="L1325" i="26"/>
  <c r="K1325" i="26"/>
  <c r="L1324" i="26"/>
  <c r="M1324" i="26" s="1"/>
  <c r="O1324" i="26" s="1"/>
  <c r="K1324" i="26"/>
  <c r="L1323" i="26"/>
  <c r="K1323" i="26"/>
  <c r="M1322" i="26"/>
  <c r="O1322" i="26" s="1"/>
  <c r="L1322" i="26"/>
  <c r="K1322" i="26"/>
  <c r="L1321" i="26"/>
  <c r="K1321" i="26"/>
  <c r="G1321" i="26"/>
  <c r="L1320" i="26"/>
  <c r="K1320" i="26"/>
  <c r="G1320" i="26"/>
  <c r="L1319" i="26"/>
  <c r="K1319" i="26"/>
  <c r="G1319" i="26"/>
  <c r="L1318" i="26"/>
  <c r="M1318" i="26" s="1"/>
  <c r="O1318" i="26" s="1"/>
  <c r="K1318" i="26"/>
  <c r="G1318" i="26"/>
  <c r="L1317" i="26"/>
  <c r="K1317" i="26"/>
  <c r="G1317" i="26"/>
  <c r="L1316" i="26"/>
  <c r="K1316" i="26"/>
  <c r="G1316" i="26"/>
  <c r="M1316" i="26" s="1"/>
  <c r="O1316" i="26" s="1"/>
  <c r="L1315" i="26"/>
  <c r="K1315" i="26"/>
  <c r="G1315" i="26"/>
  <c r="L1314" i="26"/>
  <c r="K1314" i="26"/>
  <c r="G1314" i="26"/>
  <c r="M1314" i="26" s="1"/>
  <c r="O1314" i="26" s="1"/>
  <c r="L1313" i="26"/>
  <c r="M1313" i="26" s="1"/>
  <c r="O1313" i="26" s="1"/>
  <c r="K1313" i="26"/>
  <c r="G1313" i="26"/>
  <c r="L1312" i="26"/>
  <c r="K1312" i="26"/>
  <c r="G1312" i="26"/>
  <c r="L1311" i="26"/>
  <c r="K1311" i="26"/>
  <c r="G1311" i="26"/>
  <c r="L1310" i="26"/>
  <c r="K1310" i="26"/>
  <c r="G1310" i="26"/>
  <c r="M1310" i="26" s="1"/>
  <c r="O1310" i="26" s="1"/>
  <c r="L1309" i="26"/>
  <c r="M1309" i="26" s="1"/>
  <c r="O1309" i="26" s="1"/>
  <c r="K1309" i="26"/>
  <c r="G1309" i="26"/>
  <c r="L1308" i="26"/>
  <c r="K1308" i="26"/>
  <c r="G1308" i="26"/>
  <c r="L1307" i="26"/>
  <c r="K1307" i="26"/>
  <c r="G1307" i="26"/>
  <c r="L1306" i="26"/>
  <c r="K1306" i="26"/>
  <c r="G1306" i="26"/>
  <c r="M1306" i="26" s="1"/>
  <c r="O1306" i="26" s="1"/>
  <c r="L1305" i="26"/>
  <c r="K1305" i="26"/>
  <c r="G1305" i="26"/>
  <c r="M1304" i="26"/>
  <c r="O1304" i="26" s="1"/>
  <c r="L1304" i="26"/>
  <c r="K1304" i="26"/>
  <c r="G1304" i="26"/>
  <c r="L1303" i="26"/>
  <c r="K1303" i="26"/>
  <c r="G1303" i="26"/>
  <c r="L1302" i="26"/>
  <c r="K1302" i="26"/>
  <c r="G1302" i="26"/>
  <c r="L1301" i="26"/>
  <c r="K1301" i="26"/>
  <c r="G1301" i="26"/>
  <c r="L1300" i="26"/>
  <c r="K1300" i="26"/>
  <c r="G1300" i="26"/>
  <c r="L1299" i="26"/>
  <c r="K1299" i="26"/>
  <c r="G1299" i="26"/>
  <c r="L1298" i="26"/>
  <c r="K1298" i="26"/>
  <c r="G1298" i="26"/>
  <c r="L1297" i="26"/>
  <c r="K1297" i="26"/>
  <c r="G1297" i="26"/>
  <c r="L1296" i="26"/>
  <c r="M1296" i="26" s="1"/>
  <c r="O1296" i="26" s="1"/>
  <c r="K1296" i="26"/>
  <c r="G1296" i="26"/>
  <c r="M1295" i="26"/>
  <c r="O1295" i="26" s="1"/>
  <c r="L1295" i="26"/>
  <c r="K1295" i="26"/>
  <c r="G1295" i="26"/>
  <c r="L1294" i="26"/>
  <c r="K1294" i="26"/>
  <c r="G1294" i="26"/>
  <c r="L1293" i="26"/>
  <c r="K1293" i="26"/>
  <c r="G1293" i="26"/>
  <c r="L1292" i="26"/>
  <c r="K1292" i="26"/>
  <c r="G1292" i="26"/>
  <c r="L1291" i="26"/>
  <c r="M1291" i="26" s="1"/>
  <c r="O1291" i="26" s="1"/>
  <c r="K1291" i="26"/>
  <c r="G1291" i="26"/>
  <c r="L1290" i="26"/>
  <c r="K1290" i="26"/>
  <c r="G1290" i="26"/>
  <c r="L1289" i="26"/>
  <c r="K1289" i="26"/>
  <c r="G1289" i="26"/>
  <c r="L1288" i="26"/>
  <c r="M1288" i="26" s="1"/>
  <c r="O1288" i="26" s="1"/>
  <c r="K1288" i="26"/>
  <c r="G1288" i="26"/>
  <c r="L1287" i="26"/>
  <c r="K1287" i="26"/>
  <c r="G1287" i="26"/>
  <c r="L1286" i="26"/>
  <c r="K1286" i="26"/>
  <c r="G1286" i="26"/>
  <c r="M1285" i="26"/>
  <c r="O1285" i="26" s="1"/>
  <c r="L1285" i="26"/>
  <c r="K1285" i="26"/>
  <c r="L1284" i="26"/>
  <c r="K1284" i="26"/>
  <c r="L1283" i="26"/>
  <c r="M1283" i="26" s="1"/>
  <c r="O1283" i="26" s="1"/>
  <c r="K1283" i="26"/>
  <c r="M1282" i="26"/>
  <c r="O1282" i="26" s="1"/>
  <c r="L1282" i="26"/>
  <c r="K1282" i="26"/>
  <c r="L1281" i="26"/>
  <c r="M1281" i="26" s="1"/>
  <c r="O1281" i="26" s="1"/>
  <c r="K1281" i="26"/>
  <c r="L1280" i="26"/>
  <c r="M1280" i="26" s="1"/>
  <c r="O1280" i="26" s="1"/>
  <c r="K1280" i="26"/>
  <c r="L1279" i="26"/>
  <c r="K1279" i="26"/>
  <c r="L1278" i="26"/>
  <c r="K1278" i="26"/>
  <c r="M1278" i="26" s="1"/>
  <c r="O1278" i="26" s="1"/>
  <c r="M1277" i="26"/>
  <c r="O1277" i="26" s="1"/>
  <c r="L1277" i="26"/>
  <c r="K1277" i="26"/>
  <c r="L1276" i="26"/>
  <c r="K1276" i="26"/>
  <c r="L1275" i="26"/>
  <c r="M1275" i="26" s="1"/>
  <c r="O1275" i="26" s="1"/>
  <c r="K1275" i="26"/>
  <c r="M1274" i="26"/>
  <c r="O1274" i="26" s="1"/>
  <c r="L1274" i="26"/>
  <c r="K1274" i="26"/>
  <c r="L1273" i="26"/>
  <c r="K1273" i="26"/>
  <c r="G1273" i="26"/>
  <c r="L1272" i="26"/>
  <c r="K1272" i="26"/>
  <c r="G1272" i="26"/>
  <c r="M1272" i="26" s="1"/>
  <c r="O1272" i="26" s="1"/>
  <c r="L1271" i="26"/>
  <c r="K1271" i="26"/>
  <c r="G1271" i="26"/>
  <c r="L1270" i="26"/>
  <c r="K1270" i="26"/>
  <c r="G1270" i="26"/>
  <c r="M1270" i="26" s="1"/>
  <c r="O1270" i="26" s="1"/>
  <c r="L1269" i="26"/>
  <c r="K1269" i="26"/>
  <c r="G1269" i="26"/>
  <c r="L1268" i="26"/>
  <c r="M1268" i="26" s="1"/>
  <c r="O1268" i="26" s="1"/>
  <c r="K1268" i="26"/>
  <c r="G1268" i="26"/>
  <c r="L1267" i="26"/>
  <c r="K1267" i="26"/>
  <c r="G1267" i="26"/>
  <c r="L1266" i="26"/>
  <c r="K1266" i="26"/>
  <c r="G1266" i="26"/>
  <c r="L1265" i="26"/>
  <c r="K1265" i="26"/>
  <c r="G1265" i="26"/>
  <c r="M1264" i="26"/>
  <c r="O1264" i="26" s="1"/>
  <c r="L1264" i="26"/>
  <c r="K1264" i="26"/>
  <c r="G1264" i="26"/>
  <c r="L1263" i="26"/>
  <c r="K1263" i="26"/>
  <c r="G1263" i="26"/>
  <c r="L1262" i="26"/>
  <c r="K1262" i="26"/>
  <c r="G1262" i="26"/>
  <c r="L1261" i="26"/>
  <c r="K1261" i="26"/>
  <c r="G1261" i="26"/>
  <c r="L1260" i="26"/>
  <c r="K1260" i="26"/>
  <c r="G1260" i="26"/>
  <c r="M1260" i="26" s="1"/>
  <c r="O1260" i="26" s="1"/>
  <c r="L1259" i="26"/>
  <c r="K1259" i="26"/>
  <c r="G1259" i="26"/>
  <c r="L1258" i="26"/>
  <c r="K1258" i="26"/>
  <c r="G1258" i="26"/>
  <c r="L1257" i="26"/>
  <c r="K1257" i="26"/>
  <c r="G1257" i="26"/>
  <c r="L1256" i="26"/>
  <c r="K1256" i="26"/>
  <c r="G1256" i="26"/>
  <c r="L1255" i="26"/>
  <c r="K1255" i="26"/>
  <c r="G1255" i="26"/>
  <c r="L1254" i="26"/>
  <c r="K1254" i="26"/>
  <c r="G1254" i="26"/>
  <c r="L1253" i="26"/>
  <c r="K1253" i="26"/>
  <c r="G1253" i="26"/>
  <c r="L1252" i="26"/>
  <c r="K1252" i="26"/>
  <c r="G1252" i="26"/>
  <c r="L1251" i="26"/>
  <c r="K1251" i="26"/>
  <c r="G1251" i="26"/>
  <c r="L1250" i="26"/>
  <c r="K1250" i="26"/>
  <c r="G1250" i="26"/>
  <c r="M1249" i="26"/>
  <c r="O1249" i="26" s="1"/>
  <c r="L1249" i="26"/>
  <c r="K1249" i="26"/>
  <c r="M1248" i="26"/>
  <c r="O1248" i="26" s="1"/>
  <c r="L1248" i="26"/>
  <c r="K1248" i="26"/>
  <c r="L1247" i="26"/>
  <c r="K1247" i="26"/>
  <c r="L1246" i="26"/>
  <c r="M1246" i="26" s="1"/>
  <c r="O1246" i="26" s="1"/>
  <c r="K1246" i="26"/>
  <c r="L1245" i="26"/>
  <c r="K1245" i="26"/>
  <c r="M1244" i="26"/>
  <c r="O1244" i="26" s="1"/>
  <c r="L1244" i="26"/>
  <c r="K1244" i="26"/>
  <c r="L1243" i="26"/>
  <c r="K1243" i="26"/>
  <c r="L1242" i="26"/>
  <c r="K1242" i="26"/>
  <c r="M1241" i="26"/>
  <c r="O1241" i="26" s="1"/>
  <c r="L1241" i="26"/>
  <c r="K1241" i="26"/>
  <c r="L1240" i="26"/>
  <c r="M1240" i="26" s="1"/>
  <c r="O1240" i="26" s="1"/>
  <c r="K1240" i="26"/>
  <c r="L1239" i="26"/>
  <c r="M1239" i="26" s="1"/>
  <c r="O1239" i="26" s="1"/>
  <c r="K1239" i="26"/>
  <c r="M1238" i="26"/>
  <c r="O1238" i="26" s="1"/>
  <c r="L1238" i="26"/>
  <c r="K1238" i="26"/>
  <c r="L1237" i="26"/>
  <c r="M1237" i="26" s="1"/>
  <c r="O1237" i="26" s="1"/>
  <c r="K1237" i="26"/>
  <c r="G1237" i="26"/>
  <c r="L1236" i="26"/>
  <c r="K1236" i="26"/>
  <c r="G1236" i="26"/>
  <c r="L1235" i="26"/>
  <c r="K1235" i="26"/>
  <c r="G1235" i="26"/>
  <c r="M1235" i="26" s="1"/>
  <c r="O1235" i="26" s="1"/>
  <c r="L1234" i="26"/>
  <c r="K1234" i="26"/>
  <c r="G1234" i="26"/>
  <c r="L1233" i="26"/>
  <c r="K1233" i="26"/>
  <c r="G1233" i="26"/>
  <c r="L1232" i="26"/>
  <c r="K1232" i="26"/>
  <c r="G1232" i="26"/>
  <c r="L1231" i="26"/>
  <c r="K1231" i="26"/>
  <c r="G1231" i="26"/>
  <c r="M1231" i="26" s="1"/>
  <c r="O1231" i="26" s="1"/>
  <c r="L1230" i="26"/>
  <c r="K1230" i="26"/>
  <c r="G1230" i="26"/>
  <c r="L1229" i="26"/>
  <c r="K1229" i="26"/>
  <c r="G1229" i="26"/>
  <c r="L1228" i="26"/>
  <c r="K1228" i="26"/>
  <c r="G1228" i="26"/>
  <c r="L1227" i="26"/>
  <c r="K1227" i="26"/>
  <c r="G1227" i="26"/>
  <c r="L1226" i="26"/>
  <c r="K1226" i="26"/>
  <c r="G1226" i="26"/>
  <c r="L1225" i="26"/>
  <c r="K1225" i="26"/>
  <c r="G1225" i="26"/>
  <c r="L1224" i="26"/>
  <c r="K1224" i="26"/>
  <c r="G1224" i="26"/>
  <c r="M1224" i="26" s="1"/>
  <c r="O1224" i="26" s="1"/>
  <c r="L1223" i="26"/>
  <c r="K1223" i="26"/>
  <c r="G1223" i="26"/>
  <c r="L1222" i="26"/>
  <c r="M1222" i="26" s="1"/>
  <c r="O1222" i="26" s="1"/>
  <c r="K1222" i="26"/>
  <c r="G1222" i="26"/>
  <c r="L1221" i="26"/>
  <c r="K1221" i="26"/>
  <c r="G1221" i="26"/>
  <c r="L1220" i="26"/>
  <c r="K1220" i="26"/>
  <c r="G1220" i="26"/>
  <c r="L1219" i="26"/>
  <c r="K1219" i="26"/>
  <c r="G1219" i="26"/>
  <c r="L1218" i="26"/>
  <c r="M1218" i="26" s="1"/>
  <c r="O1218" i="26" s="1"/>
  <c r="K1218" i="26"/>
  <c r="G1218" i="26"/>
  <c r="L1217" i="26"/>
  <c r="M1217" i="26" s="1"/>
  <c r="O1217" i="26" s="1"/>
  <c r="K1217" i="26"/>
  <c r="G1217" i="26"/>
  <c r="L1216" i="26"/>
  <c r="K1216" i="26"/>
  <c r="G1216" i="26"/>
  <c r="L1215" i="26"/>
  <c r="K1215" i="26"/>
  <c r="G1215" i="26"/>
  <c r="L1214" i="26"/>
  <c r="K1214" i="26"/>
  <c r="G1214" i="26"/>
  <c r="L1213" i="26"/>
  <c r="K1213" i="26"/>
  <c r="L1212" i="26"/>
  <c r="K1212" i="26"/>
  <c r="M1211" i="26"/>
  <c r="O1211" i="26" s="1"/>
  <c r="L1211" i="26"/>
  <c r="K1211" i="26"/>
  <c r="L1210" i="26"/>
  <c r="M1210" i="26" s="1"/>
  <c r="O1210" i="26" s="1"/>
  <c r="K1210" i="26"/>
  <c r="L1209" i="26"/>
  <c r="M1209" i="26" s="1"/>
  <c r="O1209" i="26" s="1"/>
  <c r="K1209" i="26"/>
  <c r="L1208" i="26"/>
  <c r="M1208" i="26" s="1"/>
  <c r="O1208" i="26" s="1"/>
  <c r="K1208" i="26"/>
  <c r="L1207" i="26"/>
  <c r="K1207" i="26"/>
  <c r="M1207" i="26" s="1"/>
  <c r="O1207" i="26" s="1"/>
  <c r="L1206" i="26"/>
  <c r="K1206" i="26"/>
  <c r="L1205" i="26"/>
  <c r="K1205" i="26"/>
  <c r="M1204" i="26"/>
  <c r="O1204" i="26" s="1"/>
  <c r="L1204" i="26"/>
  <c r="K1204" i="26"/>
  <c r="M1203" i="26"/>
  <c r="O1203" i="26" s="1"/>
  <c r="L1203" i="26"/>
  <c r="K1203" i="26"/>
  <c r="L1202" i="26"/>
  <c r="K1202" i="26"/>
  <c r="L1201" i="26"/>
  <c r="K1201" i="26"/>
  <c r="G1201" i="26"/>
  <c r="L1200" i="26"/>
  <c r="K1200" i="26"/>
  <c r="G1200" i="26"/>
  <c r="L1199" i="26"/>
  <c r="M1199" i="26" s="1"/>
  <c r="O1199" i="26" s="1"/>
  <c r="K1199" i="26"/>
  <c r="G1199" i="26"/>
  <c r="L1198" i="26"/>
  <c r="K1198" i="26"/>
  <c r="G1198" i="26"/>
  <c r="L1197" i="26"/>
  <c r="K1197" i="26"/>
  <c r="G1197" i="26"/>
  <c r="L1196" i="26"/>
  <c r="K1196" i="26"/>
  <c r="G1196" i="26"/>
  <c r="L1195" i="26"/>
  <c r="M1195" i="26" s="1"/>
  <c r="O1195" i="26" s="1"/>
  <c r="K1195" i="26"/>
  <c r="G1195" i="26"/>
  <c r="L1194" i="26"/>
  <c r="K1194" i="26"/>
  <c r="G1194" i="26"/>
  <c r="L1193" i="26"/>
  <c r="K1193" i="26"/>
  <c r="G1193" i="26"/>
  <c r="L1192" i="26"/>
  <c r="K1192" i="26"/>
  <c r="G1192" i="26"/>
  <c r="L1191" i="26"/>
  <c r="K1191" i="26"/>
  <c r="G1191" i="26"/>
  <c r="L1190" i="26"/>
  <c r="K1190" i="26"/>
  <c r="G1190" i="26"/>
  <c r="L1189" i="26"/>
  <c r="K1189" i="26"/>
  <c r="G1189" i="26"/>
  <c r="L1188" i="26"/>
  <c r="K1188" i="26"/>
  <c r="G1188" i="26"/>
  <c r="L1187" i="26"/>
  <c r="K1187" i="26"/>
  <c r="G1187" i="26"/>
  <c r="M1187" i="26" s="1"/>
  <c r="O1187" i="26" s="1"/>
  <c r="L1186" i="26"/>
  <c r="K1186" i="26"/>
  <c r="G1186" i="26"/>
  <c r="L1185" i="26"/>
  <c r="K1185" i="26"/>
  <c r="G1185" i="26"/>
  <c r="M1185" i="26" s="1"/>
  <c r="O1185" i="26" s="1"/>
  <c r="L1184" i="26"/>
  <c r="K1184" i="26"/>
  <c r="G1184" i="26"/>
  <c r="L1183" i="26"/>
  <c r="K1183" i="26"/>
  <c r="G1183" i="26"/>
  <c r="L1182" i="26"/>
  <c r="K1182" i="26"/>
  <c r="G1182" i="26"/>
  <c r="L1181" i="26"/>
  <c r="K1181" i="26"/>
  <c r="G1181" i="26"/>
  <c r="M1181" i="26" s="1"/>
  <c r="O1181" i="26" s="1"/>
  <c r="L1180" i="26"/>
  <c r="K1180" i="26"/>
  <c r="G1180" i="26"/>
  <c r="M1179" i="26"/>
  <c r="O1179" i="26" s="1"/>
  <c r="L1179" i="26"/>
  <c r="K1179" i="26"/>
  <c r="G1179" i="26"/>
  <c r="L1178" i="26"/>
  <c r="M1178" i="26" s="1"/>
  <c r="O1178" i="26" s="1"/>
  <c r="K1178" i="26"/>
  <c r="G1178" i="26"/>
  <c r="L1177" i="26"/>
  <c r="K1177" i="26"/>
  <c r="G1177" i="26"/>
  <c r="L1176" i="26"/>
  <c r="K1176" i="26"/>
  <c r="G1176" i="26"/>
  <c r="L1175" i="26"/>
  <c r="K1175" i="26"/>
  <c r="G1175" i="26"/>
  <c r="L1174" i="26"/>
  <c r="M1174" i="26" s="1"/>
  <c r="O1174" i="26" s="1"/>
  <c r="K1174" i="26"/>
  <c r="G1174" i="26"/>
  <c r="L1173" i="26"/>
  <c r="M1173" i="26" s="1"/>
  <c r="O1173" i="26" s="1"/>
  <c r="K1173" i="26"/>
  <c r="G1173" i="26"/>
  <c r="L1172" i="26"/>
  <c r="K1172" i="26"/>
  <c r="G1172" i="26"/>
  <c r="L1171" i="26"/>
  <c r="K1171" i="26"/>
  <c r="G1171" i="26"/>
  <c r="L1170" i="26"/>
  <c r="K1170" i="26"/>
  <c r="G1170" i="26"/>
  <c r="M1170" i="26" s="1"/>
  <c r="O1170" i="26" s="1"/>
  <c r="L1169" i="26"/>
  <c r="K1169" i="26"/>
  <c r="G1169" i="26"/>
  <c r="M1168" i="26"/>
  <c r="O1168" i="26" s="1"/>
  <c r="L1168" i="26"/>
  <c r="K1168" i="26"/>
  <c r="G1168" i="26"/>
  <c r="L1167" i="26"/>
  <c r="K1167" i="26"/>
  <c r="G1167" i="26"/>
  <c r="L1166" i="26"/>
  <c r="K1166" i="26"/>
  <c r="G1166" i="26"/>
  <c r="L1165" i="26"/>
  <c r="K1165" i="26"/>
  <c r="G1165" i="26"/>
  <c r="L1164" i="26"/>
  <c r="M1164" i="26" s="1"/>
  <c r="O1164" i="26" s="1"/>
  <c r="K1164" i="26"/>
  <c r="G1164" i="26"/>
  <c r="L1163" i="26"/>
  <c r="K1163" i="26"/>
  <c r="G1163" i="26"/>
  <c r="L1162" i="26"/>
  <c r="K1162" i="26"/>
  <c r="G1162" i="26"/>
  <c r="L1161" i="26"/>
  <c r="K1161" i="26"/>
  <c r="G1161" i="26"/>
  <c r="L1160" i="26"/>
  <c r="K1160" i="26"/>
  <c r="G1160" i="26"/>
  <c r="L1159" i="26"/>
  <c r="K1159" i="26"/>
  <c r="G1159" i="26"/>
  <c r="L1158" i="26"/>
  <c r="K1158" i="26"/>
  <c r="G1158" i="26"/>
  <c r="M1158" i="26" s="1"/>
  <c r="O1158" i="26" s="1"/>
  <c r="L1157" i="26"/>
  <c r="K1157" i="26"/>
  <c r="G1157" i="26"/>
  <c r="L1156" i="26"/>
  <c r="K1156" i="26"/>
  <c r="G1156" i="26"/>
  <c r="L1155" i="26"/>
  <c r="K1155" i="26"/>
  <c r="G1155" i="26"/>
  <c r="L1154" i="26"/>
  <c r="K1154" i="26"/>
  <c r="G1154" i="26"/>
  <c r="L1153" i="26"/>
  <c r="K1153" i="26"/>
  <c r="G1153" i="26"/>
  <c r="M1153" i="26" s="1"/>
  <c r="O1153" i="26" s="1"/>
  <c r="L1152" i="26"/>
  <c r="K1152" i="26"/>
  <c r="G1152" i="26"/>
  <c r="L1151" i="26"/>
  <c r="K1151" i="26"/>
  <c r="G1151" i="26"/>
  <c r="L1150" i="26"/>
  <c r="K1150" i="26"/>
  <c r="G1150" i="26"/>
  <c r="L1149" i="26"/>
  <c r="K1149" i="26"/>
  <c r="G1149" i="26"/>
  <c r="L1148" i="26"/>
  <c r="M1148" i="26" s="1"/>
  <c r="O1148" i="26" s="1"/>
  <c r="K1148" i="26"/>
  <c r="G1148" i="26"/>
  <c r="M1147" i="26"/>
  <c r="O1147" i="26" s="1"/>
  <c r="L1147" i="26"/>
  <c r="K1147" i="26"/>
  <c r="G1147" i="26"/>
  <c r="L1146" i="26"/>
  <c r="K1146" i="26"/>
  <c r="G1146" i="26"/>
  <c r="L1145" i="26"/>
  <c r="K1145" i="26"/>
  <c r="G1145" i="26"/>
  <c r="L1144" i="26"/>
  <c r="K1144" i="26"/>
  <c r="G1144" i="26"/>
  <c r="L1143" i="26"/>
  <c r="K1143" i="26"/>
  <c r="G1143" i="26"/>
  <c r="L1142" i="26"/>
  <c r="K1142" i="26"/>
  <c r="G1142" i="26"/>
  <c r="L1141" i="26"/>
  <c r="K1141" i="26"/>
  <c r="G1141" i="26"/>
  <c r="L1140" i="26"/>
  <c r="K1140" i="26"/>
  <c r="G1140" i="26"/>
  <c r="L1139" i="26"/>
  <c r="M1139" i="26" s="1"/>
  <c r="O1139" i="26" s="1"/>
  <c r="K1139" i="26"/>
  <c r="G1139" i="26"/>
  <c r="L1138" i="26"/>
  <c r="K1138" i="26"/>
  <c r="G1138" i="26"/>
  <c r="L1137" i="26"/>
  <c r="K1137" i="26"/>
  <c r="G1137" i="26"/>
  <c r="L1136" i="26"/>
  <c r="K1136" i="26"/>
  <c r="G1136" i="26"/>
  <c r="L1135" i="26"/>
  <c r="M1135" i="26" s="1"/>
  <c r="O1135" i="26" s="1"/>
  <c r="K1135" i="26"/>
  <c r="G1135" i="26"/>
  <c r="L1134" i="26"/>
  <c r="K1134" i="26"/>
  <c r="G1134" i="26"/>
  <c r="L1133" i="26"/>
  <c r="K1133" i="26"/>
  <c r="G1133" i="26"/>
  <c r="L1132" i="26"/>
  <c r="K1132" i="26"/>
  <c r="G1132" i="26"/>
  <c r="L1131" i="26"/>
  <c r="K1131" i="26"/>
  <c r="G1131" i="26"/>
  <c r="L1130" i="26"/>
  <c r="K1130" i="26"/>
  <c r="G1130" i="26"/>
  <c r="L1129" i="26"/>
  <c r="K1129" i="26"/>
  <c r="G1129" i="26"/>
  <c r="L1128" i="26"/>
  <c r="K1128" i="26"/>
  <c r="G1128" i="26"/>
  <c r="L1127" i="26"/>
  <c r="M1127" i="26" s="1"/>
  <c r="O1127" i="26" s="1"/>
  <c r="K1127" i="26"/>
  <c r="G1127" i="26"/>
  <c r="M1126" i="26"/>
  <c r="O1126" i="26" s="1"/>
  <c r="L1126" i="26"/>
  <c r="K1126" i="26"/>
  <c r="G1126" i="26"/>
  <c r="L1125" i="26"/>
  <c r="K1125" i="26"/>
  <c r="G1125" i="26"/>
  <c r="L1124" i="26"/>
  <c r="K1124" i="26"/>
  <c r="G1124" i="26"/>
  <c r="L1123" i="26"/>
  <c r="K1123" i="26"/>
  <c r="G1123" i="26"/>
  <c r="L1122" i="26"/>
  <c r="K1122" i="26"/>
  <c r="G1122" i="26"/>
  <c r="L1121" i="26"/>
  <c r="K1121" i="26"/>
  <c r="G1121" i="26"/>
  <c r="L1120" i="26"/>
  <c r="K1120" i="26"/>
  <c r="G1120" i="26"/>
  <c r="M1120" i="26" s="1"/>
  <c r="O1120" i="26" s="1"/>
  <c r="L1119" i="26"/>
  <c r="K1119" i="26"/>
  <c r="G1119" i="26"/>
  <c r="L1118" i="26"/>
  <c r="K1118" i="26"/>
  <c r="G1118" i="26"/>
  <c r="L1117" i="26"/>
  <c r="K1117" i="26"/>
  <c r="L1116" i="26"/>
  <c r="M1116" i="26" s="1"/>
  <c r="O1116" i="26" s="1"/>
  <c r="K1116" i="26"/>
  <c r="L1115" i="26"/>
  <c r="M1115" i="26" s="1"/>
  <c r="O1115" i="26" s="1"/>
  <c r="K1115" i="26"/>
  <c r="L1114" i="26"/>
  <c r="K1114" i="26"/>
  <c r="L1113" i="26"/>
  <c r="K1113" i="26"/>
  <c r="M1112" i="26"/>
  <c r="O1112" i="26" s="1"/>
  <c r="L1112" i="26"/>
  <c r="K1112" i="26"/>
  <c r="M1111" i="26"/>
  <c r="O1111" i="26" s="1"/>
  <c r="L1111" i="26"/>
  <c r="K1111" i="26"/>
  <c r="L1110" i="26"/>
  <c r="K1110" i="26"/>
  <c r="M1109" i="26"/>
  <c r="O1109" i="26" s="1"/>
  <c r="L1109" i="26"/>
  <c r="K1109" i="26"/>
  <c r="M1108" i="26"/>
  <c r="O1108" i="26" s="1"/>
  <c r="L1108" i="26"/>
  <c r="K1108" i="26"/>
  <c r="L1107" i="26"/>
  <c r="K1107" i="26"/>
  <c r="M1107" i="26" s="1"/>
  <c r="O1107" i="26" s="1"/>
  <c r="L1106" i="26"/>
  <c r="M1106" i="26" s="1"/>
  <c r="O1106" i="26" s="1"/>
  <c r="K1106" i="26"/>
  <c r="L1105" i="26"/>
  <c r="K1105" i="26"/>
  <c r="G1105" i="26"/>
  <c r="L1104" i="26"/>
  <c r="K1104" i="26"/>
  <c r="G1104" i="26"/>
  <c r="L1103" i="26"/>
  <c r="K1103" i="26"/>
  <c r="G1103" i="26"/>
  <c r="L1102" i="26"/>
  <c r="K1102" i="26"/>
  <c r="G1102" i="26"/>
  <c r="L1101" i="26"/>
  <c r="K1101" i="26"/>
  <c r="G1101" i="26"/>
  <c r="L1100" i="26"/>
  <c r="K1100" i="26"/>
  <c r="G1100" i="26"/>
  <c r="L1099" i="26"/>
  <c r="K1099" i="26"/>
  <c r="G1099" i="26"/>
  <c r="L1098" i="26"/>
  <c r="K1098" i="26"/>
  <c r="G1098" i="26"/>
  <c r="L1097" i="26"/>
  <c r="K1097" i="26"/>
  <c r="G1097" i="26"/>
  <c r="L1096" i="26"/>
  <c r="K1096" i="26"/>
  <c r="G1096" i="26"/>
  <c r="L1095" i="26"/>
  <c r="M1095" i="26" s="1"/>
  <c r="O1095" i="26" s="1"/>
  <c r="K1095" i="26"/>
  <c r="G1095" i="26"/>
  <c r="L1094" i="26"/>
  <c r="K1094" i="26"/>
  <c r="G1094" i="26"/>
  <c r="L1093" i="26"/>
  <c r="K1093" i="26"/>
  <c r="G1093" i="26"/>
  <c r="L1092" i="26"/>
  <c r="K1092" i="26"/>
  <c r="G1092" i="26"/>
  <c r="L1091" i="26"/>
  <c r="K1091" i="26"/>
  <c r="G1091" i="26"/>
  <c r="M1090" i="26"/>
  <c r="O1090" i="26" s="1"/>
  <c r="L1090" i="26"/>
  <c r="K1090" i="26"/>
  <c r="G1090" i="26"/>
  <c r="L1089" i="26"/>
  <c r="K1089" i="26"/>
  <c r="G1089" i="26"/>
  <c r="L1088" i="26"/>
  <c r="K1088" i="26"/>
  <c r="G1088" i="26"/>
  <c r="L1087" i="26"/>
  <c r="K1087" i="26"/>
  <c r="G1087" i="26"/>
  <c r="M1087" i="26" s="1"/>
  <c r="O1087" i="26" s="1"/>
  <c r="L1086" i="26"/>
  <c r="M1086" i="26" s="1"/>
  <c r="O1086" i="26" s="1"/>
  <c r="K1086" i="26"/>
  <c r="G1086" i="26"/>
  <c r="M1085" i="26"/>
  <c r="O1085" i="26" s="1"/>
  <c r="L1085" i="26"/>
  <c r="K1085" i="26"/>
  <c r="G1085" i="26"/>
  <c r="M1084" i="26"/>
  <c r="O1084" i="26" s="1"/>
  <c r="L1084" i="26"/>
  <c r="K1084" i="26"/>
  <c r="G1084" i="26"/>
  <c r="L1083" i="26"/>
  <c r="K1083" i="26"/>
  <c r="G1083" i="26"/>
  <c r="L1082" i="26"/>
  <c r="M1082" i="26" s="1"/>
  <c r="O1082" i="26" s="1"/>
  <c r="K1082" i="26"/>
  <c r="G1082" i="26"/>
  <c r="L1081" i="26"/>
  <c r="K1081" i="26"/>
  <c r="G1081" i="26"/>
  <c r="L1080" i="26"/>
  <c r="K1080" i="26"/>
  <c r="G1080" i="26"/>
  <c r="L1079" i="26"/>
  <c r="K1079" i="26"/>
  <c r="G1079" i="26"/>
  <c r="L1078" i="26"/>
  <c r="K1078" i="26"/>
  <c r="G1078" i="26"/>
  <c r="M1078" i="26" s="1"/>
  <c r="O1078" i="26" s="1"/>
  <c r="L1077" i="26"/>
  <c r="K1077" i="26"/>
  <c r="G1077" i="26"/>
  <c r="L1076" i="26"/>
  <c r="K1076" i="26"/>
  <c r="G1076" i="26"/>
  <c r="M1076" i="26" s="1"/>
  <c r="O1076" i="26" s="1"/>
  <c r="L1075" i="26"/>
  <c r="K1075" i="26"/>
  <c r="G1075" i="26"/>
  <c r="L1074" i="26"/>
  <c r="M1074" i="26" s="1"/>
  <c r="O1074" i="26" s="1"/>
  <c r="K1074" i="26"/>
  <c r="G1074" i="26"/>
  <c r="L1073" i="26"/>
  <c r="K1073" i="26"/>
  <c r="G1073" i="26"/>
  <c r="L1072" i="26"/>
  <c r="K1072" i="26"/>
  <c r="G1072" i="26"/>
  <c r="L1071" i="26"/>
  <c r="K1071" i="26"/>
  <c r="G1071" i="26"/>
  <c r="L1070" i="26"/>
  <c r="K1070" i="26"/>
  <c r="G1070" i="26"/>
  <c r="L1069" i="26"/>
  <c r="K1069" i="26"/>
  <c r="M1069" i="26" s="1"/>
  <c r="O1069" i="26" s="1"/>
  <c r="G1069" i="26"/>
  <c r="L1068" i="26"/>
  <c r="K1068" i="26"/>
  <c r="G1068" i="26"/>
  <c r="L1067" i="26"/>
  <c r="K1067" i="26"/>
  <c r="G1067" i="26"/>
  <c r="L1066" i="26"/>
  <c r="K1066" i="26"/>
  <c r="G1066" i="26"/>
  <c r="M1066" i="26" s="1"/>
  <c r="O1066" i="26" s="1"/>
  <c r="L1065" i="26"/>
  <c r="K1065" i="26"/>
  <c r="G1065" i="26"/>
  <c r="L1064" i="26"/>
  <c r="K1064" i="26"/>
  <c r="G1064" i="26"/>
  <c r="L1063" i="26"/>
  <c r="K1063" i="26"/>
  <c r="G1063" i="26"/>
  <c r="L1062" i="26"/>
  <c r="K1062" i="26"/>
  <c r="G1062" i="26"/>
  <c r="M1062" i="26" s="1"/>
  <c r="O1062" i="26" s="1"/>
  <c r="L1061" i="26"/>
  <c r="K1061" i="26"/>
  <c r="G1061" i="26"/>
  <c r="L1060" i="26"/>
  <c r="K1060" i="26"/>
  <c r="G1060" i="26"/>
  <c r="L1059" i="26"/>
  <c r="K1059" i="26"/>
  <c r="G1059" i="26"/>
  <c r="L1058" i="26"/>
  <c r="K1058" i="26"/>
  <c r="G1058" i="26"/>
  <c r="L1057" i="26"/>
  <c r="K1057" i="26"/>
  <c r="M1057" i="26" s="1"/>
  <c r="O1057" i="26" s="1"/>
  <c r="L1056" i="26"/>
  <c r="K1056" i="26"/>
  <c r="L1055" i="26"/>
  <c r="K1055" i="26"/>
  <c r="L1054" i="26"/>
  <c r="M1054" i="26" s="1"/>
  <c r="O1054" i="26" s="1"/>
  <c r="K1054" i="26"/>
  <c r="L1053" i="26"/>
  <c r="K1053" i="26"/>
  <c r="L1052" i="26"/>
  <c r="K1052" i="26"/>
  <c r="L1051" i="26"/>
  <c r="K1051" i="26"/>
  <c r="M1050" i="26"/>
  <c r="O1050" i="26" s="1"/>
  <c r="L1050" i="26"/>
  <c r="K1050" i="26"/>
  <c r="L1049" i="26"/>
  <c r="M1049" i="26" s="1"/>
  <c r="O1049" i="26" s="1"/>
  <c r="K1049" i="26"/>
  <c r="L1048" i="26"/>
  <c r="M1048" i="26" s="1"/>
  <c r="O1048" i="26" s="1"/>
  <c r="K1048" i="26"/>
  <c r="L1047" i="26"/>
  <c r="M1047" i="26" s="1"/>
  <c r="O1047" i="26" s="1"/>
  <c r="K1047" i="26"/>
  <c r="L1046" i="26"/>
  <c r="K1046" i="26"/>
  <c r="L1045" i="26"/>
  <c r="K1045" i="26"/>
  <c r="G1045" i="26"/>
  <c r="L1044" i="26"/>
  <c r="K1044" i="26"/>
  <c r="G1044" i="26"/>
  <c r="L1043" i="26"/>
  <c r="K1043" i="26"/>
  <c r="G1043" i="26"/>
  <c r="L1042" i="26"/>
  <c r="K1042" i="26"/>
  <c r="M1042" i="26" s="1"/>
  <c r="O1042" i="26" s="1"/>
  <c r="G1042" i="26"/>
  <c r="L1041" i="26"/>
  <c r="K1041" i="26"/>
  <c r="G1041" i="26"/>
  <c r="L1040" i="26"/>
  <c r="K1040" i="26"/>
  <c r="G1040" i="26"/>
  <c r="L1039" i="26"/>
  <c r="K1039" i="26"/>
  <c r="G1039" i="26"/>
  <c r="L1038" i="26"/>
  <c r="K1038" i="26"/>
  <c r="G1038" i="26"/>
  <c r="L1037" i="26"/>
  <c r="K1037" i="26"/>
  <c r="G1037" i="26"/>
  <c r="L1036" i="26"/>
  <c r="K1036" i="26"/>
  <c r="G1036" i="26"/>
  <c r="L1035" i="26"/>
  <c r="K1035" i="26"/>
  <c r="G1035" i="26"/>
  <c r="L1034" i="26"/>
  <c r="K1034" i="26"/>
  <c r="G1034" i="26"/>
  <c r="L1033" i="26"/>
  <c r="K1033" i="26"/>
  <c r="G1033" i="26"/>
  <c r="L1032" i="26"/>
  <c r="K1032" i="26"/>
  <c r="G1032" i="26"/>
  <c r="L1031" i="26"/>
  <c r="K1031" i="26"/>
  <c r="G1031" i="26"/>
  <c r="L1030" i="26"/>
  <c r="K1030" i="26"/>
  <c r="G1030" i="26"/>
  <c r="L1029" i="26"/>
  <c r="K1029" i="26"/>
  <c r="G1029" i="26"/>
  <c r="L1028" i="26"/>
  <c r="K1028" i="26"/>
  <c r="G1028" i="26"/>
  <c r="L1027" i="26"/>
  <c r="K1027" i="26"/>
  <c r="G1027" i="26"/>
  <c r="L1026" i="26"/>
  <c r="K1026" i="26"/>
  <c r="G1026" i="26"/>
  <c r="L1025" i="26"/>
  <c r="K1025" i="26"/>
  <c r="G1025" i="26"/>
  <c r="L1024" i="26"/>
  <c r="K1024" i="26"/>
  <c r="G1024" i="26"/>
  <c r="L1023" i="26"/>
  <c r="K1023" i="26"/>
  <c r="G1023" i="26"/>
  <c r="L1022" i="26"/>
  <c r="K1022" i="26"/>
  <c r="M1022" i="26" s="1"/>
  <c r="O1022" i="26" s="1"/>
  <c r="G1022" i="26"/>
  <c r="L1021" i="26"/>
  <c r="M1021" i="26" s="1"/>
  <c r="O1021" i="26" s="1"/>
  <c r="K1021" i="26"/>
  <c r="L1020" i="26"/>
  <c r="K1020" i="26"/>
  <c r="L1019" i="26"/>
  <c r="K1019" i="26"/>
  <c r="L1018" i="26"/>
  <c r="M1018" i="26" s="1"/>
  <c r="O1018" i="26" s="1"/>
  <c r="K1018" i="26"/>
  <c r="L1017" i="26"/>
  <c r="K1017" i="26"/>
  <c r="L1016" i="26"/>
  <c r="M1016" i="26" s="1"/>
  <c r="O1016" i="26" s="1"/>
  <c r="K1016" i="26"/>
  <c r="M1015" i="26"/>
  <c r="O1015" i="26" s="1"/>
  <c r="L1015" i="26"/>
  <c r="K1015" i="26"/>
  <c r="L1014" i="26"/>
  <c r="K1014" i="26"/>
  <c r="M1013" i="26"/>
  <c r="O1013" i="26" s="1"/>
  <c r="L1013" i="26"/>
  <c r="K1013" i="26"/>
  <c r="L1012" i="26"/>
  <c r="M1012" i="26" s="1"/>
  <c r="O1012" i="26" s="1"/>
  <c r="K1012" i="26"/>
  <c r="L1011" i="26"/>
  <c r="K1011" i="26"/>
  <c r="L1010" i="26"/>
  <c r="K1010" i="26"/>
  <c r="L1009" i="26"/>
  <c r="K1009" i="26"/>
  <c r="G1009" i="26"/>
  <c r="L1008" i="26"/>
  <c r="K1008" i="26"/>
  <c r="G1008" i="26"/>
  <c r="L1007" i="26"/>
  <c r="K1007" i="26"/>
  <c r="G1007" i="26"/>
  <c r="L1006" i="26"/>
  <c r="K1006" i="26"/>
  <c r="G1006" i="26"/>
  <c r="L1005" i="26"/>
  <c r="K1005" i="26"/>
  <c r="G1005" i="26"/>
  <c r="L1004" i="26"/>
  <c r="K1004" i="26"/>
  <c r="G1004" i="26"/>
  <c r="L1003" i="26"/>
  <c r="K1003" i="26"/>
  <c r="G1003" i="26"/>
  <c r="L1002" i="26"/>
  <c r="K1002" i="26"/>
  <c r="G1002" i="26"/>
  <c r="L1001" i="26"/>
  <c r="K1001" i="26"/>
  <c r="G1001" i="26"/>
  <c r="L1000" i="26"/>
  <c r="K1000" i="26"/>
  <c r="G1000" i="26"/>
  <c r="L999" i="26"/>
  <c r="K999" i="26"/>
  <c r="G999" i="26"/>
  <c r="L998" i="26"/>
  <c r="K998" i="26"/>
  <c r="M998" i="26" s="1"/>
  <c r="O998" i="26" s="1"/>
  <c r="G998" i="26"/>
  <c r="L997" i="26"/>
  <c r="K997" i="26"/>
  <c r="G997" i="26"/>
  <c r="M997" i="26" s="1"/>
  <c r="O997" i="26" s="1"/>
  <c r="L996" i="26"/>
  <c r="K996" i="26"/>
  <c r="G996" i="26"/>
  <c r="L995" i="26"/>
  <c r="K995" i="26"/>
  <c r="G995" i="26"/>
  <c r="L994" i="26"/>
  <c r="K994" i="26"/>
  <c r="G994" i="26"/>
  <c r="M993" i="26"/>
  <c r="O993" i="26" s="1"/>
  <c r="L993" i="26"/>
  <c r="K993" i="26"/>
  <c r="G993" i="26"/>
  <c r="M992" i="26"/>
  <c r="O992" i="26" s="1"/>
  <c r="L992" i="26"/>
  <c r="K992" i="26"/>
  <c r="G992" i="26"/>
  <c r="L991" i="26"/>
  <c r="K991" i="26"/>
  <c r="G991" i="26"/>
  <c r="L990" i="26"/>
  <c r="K990" i="26"/>
  <c r="M990" i="26" s="1"/>
  <c r="O990" i="26" s="1"/>
  <c r="G990" i="26"/>
  <c r="L989" i="26"/>
  <c r="K989" i="26"/>
  <c r="G989" i="26"/>
  <c r="L988" i="26"/>
  <c r="K988" i="26"/>
  <c r="G988" i="26"/>
  <c r="L987" i="26"/>
  <c r="K987" i="26"/>
  <c r="G987" i="26"/>
  <c r="L986" i="26"/>
  <c r="M986" i="26" s="1"/>
  <c r="O986" i="26" s="1"/>
  <c r="K986" i="26"/>
  <c r="G986" i="26"/>
  <c r="L985" i="26"/>
  <c r="K985" i="26"/>
  <c r="G985" i="26"/>
  <c r="L984" i="26"/>
  <c r="K984" i="26"/>
  <c r="G984" i="26"/>
  <c r="L983" i="26"/>
  <c r="K983" i="26"/>
  <c r="G983" i="26"/>
  <c r="L982" i="26"/>
  <c r="M982" i="26" s="1"/>
  <c r="O982" i="26" s="1"/>
  <c r="K982" i="26"/>
  <c r="G982" i="26"/>
  <c r="L981" i="26"/>
  <c r="K981" i="26"/>
  <c r="G981" i="26"/>
  <c r="L980" i="26"/>
  <c r="K980" i="26"/>
  <c r="G980" i="26"/>
  <c r="L979" i="26"/>
  <c r="K979" i="26"/>
  <c r="G979" i="26"/>
  <c r="L978" i="26"/>
  <c r="M978" i="26" s="1"/>
  <c r="O978" i="26" s="1"/>
  <c r="K978" i="26"/>
  <c r="G978" i="26"/>
  <c r="L977" i="26"/>
  <c r="K977" i="26"/>
  <c r="G977" i="26"/>
  <c r="L976" i="26"/>
  <c r="K976" i="26"/>
  <c r="G976" i="26"/>
  <c r="L975" i="26"/>
  <c r="K975" i="26"/>
  <c r="G975" i="26"/>
  <c r="L974" i="26"/>
  <c r="K974" i="26"/>
  <c r="G974" i="26"/>
  <c r="M974" i="26" s="1"/>
  <c r="O974" i="26" s="1"/>
  <c r="L973" i="26"/>
  <c r="K973" i="26"/>
  <c r="G973" i="26"/>
  <c r="M973" i="26" s="1"/>
  <c r="O973" i="26" s="1"/>
  <c r="L972" i="26"/>
  <c r="K972" i="26"/>
  <c r="G972" i="26"/>
  <c r="L971" i="26"/>
  <c r="K971" i="26"/>
  <c r="G971" i="26"/>
  <c r="L970" i="26"/>
  <c r="K970" i="26"/>
  <c r="G970" i="26"/>
  <c r="L969" i="26"/>
  <c r="K969" i="26"/>
  <c r="G969" i="26"/>
  <c r="L968" i="26"/>
  <c r="K968" i="26"/>
  <c r="G968" i="26"/>
  <c r="L967" i="26"/>
  <c r="K967" i="26"/>
  <c r="G967" i="26"/>
  <c r="L966" i="26"/>
  <c r="K966" i="26"/>
  <c r="G966" i="26"/>
  <c r="M966" i="26" s="1"/>
  <c r="O966" i="26" s="1"/>
  <c r="L965" i="26"/>
  <c r="K965" i="26"/>
  <c r="G965" i="26"/>
  <c r="M965" i="26" s="1"/>
  <c r="O965" i="26" s="1"/>
  <c r="L964" i="26"/>
  <c r="K964" i="26"/>
  <c r="G964" i="26"/>
  <c r="L963" i="26"/>
  <c r="K963" i="26"/>
  <c r="G963" i="26"/>
  <c r="L962" i="26"/>
  <c r="K962" i="26"/>
  <c r="G962" i="26"/>
  <c r="L961" i="26"/>
  <c r="K961" i="26"/>
  <c r="G961" i="26"/>
  <c r="L960" i="26"/>
  <c r="K960" i="26"/>
  <c r="G960" i="26"/>
  <c r="L959" i="26"/>
  <c r="K959" i="26"/>
  <c r="G959" i="26"/>
  <c r="L958" i="26"/>
  <c r="K958" i="26"/>
  <c r="G958" i="26"/>
  <c r="L957" i="26"/>
  <c r="K957" i="26"/>
  <c r="G957" i="26"/>
  <c r="L956" i="26"/>
  <c r="K956" i="26"/>
  <c r="G956" i="26"/>
  <c r="L955" i="26"/>
  <c r="M955" i="26" s="1"/>
  <c r="O955" i="26" s="1"/>
  <c r="K955" i="26"/>
  <c r="G955" i="26"/>
  <c r="L954" i="26"/>
  <c r="K954" i="26"/>
  <c r="G954" i="26"/>
  <c r="L953" i="26"/>
  <c r="K953" i="26"/>
  <c r="G953" i="26"/>
  <c r="L952" i="26"/>
  <c r="K952" i="26"/>
  <c r="G952" i="26"/>
  <c r="L951" i="26"/>
  <c r="M951" i="26" s="1"/>
  <c r="O951" i="26" s="1"/>
  <c r="K951" i="26"/>
  <c r="G951" i="26"/>
  <c r="L950" i="26"/>
  <c r="K950" i="26"/>
  <c r="G950" i="26"/>
  <c r="L949" i="26"/>
  <c r="K949" i="26"/>
  <c r="M949" i="26" s="1"/>
  <c r="O949" i="26" s="1"/>
  <c r="L948" i="26"/>
  <c r="M948" i="26" s="1"/>
  <c r="O948" i="26" s="1"/>
  <c r="K948" i="26"/>
  <c r="L947" i="26"/>
  <c r="M947" i="26" s="1"/>
  <c r="O947" i="26" s="1"/>
  <c r="K947" i="26"/>
  <c r="L946" i="26"/>
  <c r="M946" i="26" s="1"/>
  <c r="O946" i="26" s="1"/>
  <c r="K946" i="26"/>
  <c r="M945" i="26"/>
  <c r="O945" i="26" s="1"/>
  <c r="L945" i="26"/>
  <c r="K945" i="26"/>
  <c r="L944" i="26"/>
  <c r="K944" i="26"/>
  <c r="L943" i="26"/>
  <c r="K943" i="26"/>
  <c r="L942" i="26"/>
  <c r="K942" i="26"/>
  <c r="L941" i="26"/>
  <c r="K941" i="26"/>
  <c r="L940" i="26"/>
  <c r="K940" i="26"/>
  <c r="M939" i="26"/>
  <c r="O939" i="26" s="1"/>
  <c r="L939" i="26"/>
  <c r="K939" i="26"/>
  <c r="M938" i="26"/>
  <c r="O938" i="26" s="1"/>
  <c r="L938" i="26"/>
  <c r="K938" i="26"/>
  <c r="L937" i="26"/>
  <c r="K937" i="26"/>
  <c r="G937" i="26"/>
  <c r="L936" i="26"/>
  <c r="K936" i="26"/>
  <c r="G936" i="26"/>
  <c r="L935" i="26"/>
  <c r="M935" i="26" s="1"/>
  <c r="O935" i="26" s="1"/>
  <c r="K935" i="26"/>
  <c r="G935" i="26"/>
  <c r="L934" i="26"/>
  <c r="K934" i="26"/>
  <c r="G934" i="26"/>
  <c r="L933" i="26"/>
  <c r="K933" i="26"/>
  <c r="G933" i="26"/>
  <c r="L932" i="26"/>
  <c r="K932" i="26"/>
  <c r="G932" i="26"/>
  <c r="L931" i="26"/>
  <c r="M931" i="26" s="1"/>
  <c r="O931" i="26" s="1"/>
  <c r="K931" i="26"/>
  <c r="G931" i="26"/>
  <c r="L930" i="26"/>
  <c r="K930" i="26"/>
  <c r="G930" i="26"/>
  <c r="L929" i="26"/>
  <c r="K929" i="26"/>
  <c r="G929" i="26"/>
  <c r="L928" i="26"/>
  <c r="K928" i="26"/>
  <c r="G928" i="26"/>
  <c r="L927" i="26"/>
  <c r="M927" i="26" s="1"/>
  <c r="O927" i="26" s="1"/>
  <c r="K927" i="26"/>
  <c r="G927" i="26"/>
  <c r="M926" i="26"/>
  <c r="O926" i="26" s="1"/>
  <c r="L926" i="26"/>
  <c r="K926" i="26"/>
  <c r="G926" i="26"/>
  <c r="L925" i="26"/>
  <c r="K925" i="26"/>
  <c r="G925" i="26"/>
  <c r="L924" i="26"/>
  <c r="K924" i="26"/>
  <c r="G924" i="26"/>
  <c r="L923" i="26"/>
  <c r="K923" i="26"/>
  <c r="G923" i="26"/>
  <c r="L922" i="26"/>
  <c r="K922" i="26"/>
  <c r="G922" i="26"/>
  <c r="L921" i="26"/>
  <c r="K921" i="26"/>
  <c r="G921" i="26"/>
  <c r="L920" i="26"/>
  <c r="K920" i="26"/>
  <c r="G920" i="26"/>
  <c r="L919" i="26"/>
  <c r="K919" i="26"/>
  <c r="G919" i="26"/>
  <c r="M919" i="26" s="1"/>
  <c r="O919" i="26" s="1"/>
  <c r="L918" i="26"/>
  <c r="K918" i="26"/>
  <c r="G918" i="26"/>
  <c r="M918" i="26" s="1"/>
  <c r="O918" i="26" s="1"/>
  <c r="L917" i="26"/>
  <c r="K917" i="26"/>
  <c r="G917" i="26"/>
  <c r="L916" i="26"/>
  <c r="K916" i="26"/>
  <c r="G916" i="26"/>
  <c r="L915" i="26"/>
  <c r="K915" i="26"/>
  <c r="G915" i="26"/>
  <c r="L914" i="26"/>
  <c r="K914" i="26"/>
  <c r="G914" i="26"/>
  <c r="L913" i="26"/>
  <c r="K913" i="26"/>
  <c r="G913" i="26"/>
  <c r="L912" i="26"/>
  <c r="K912" i="26"/>
  <c r="G912" i="26"/>
  <c r="L911" i="26"/>
  <c r="K911" i="26"/>
  <c r="G911" i="26"/>
  <c r="L910" i="26"/>
  <c r="K910" i="26"/>
  <c r="G910" i="26"/>
  <c r="L909" i="26"/>
  <c r="K909" i="26"/>
  <c r="G909" i="26"/>
  <c r="L908" i="26"/>
  <c r="K908" i="26"/>
  <c r="G908" i="26"/>
  <c r="L907" i="26"/>
  <c r="K907" i="26"/>
  <c r="G907" i="26"/>
  <c r="L906" i="26"/>
  <c r="K906" i="26"/>
  <c r="G906" i="26"/>
  <c r="L905" i="26"/>
  <c r="K905" i="26"/>
  <c r="G905" i="26"/>
  <c r="L904" i="26"/>
  <c r="K904" i="26"/>
  <c r="G904" i="26"/>
  <c r="L903" i="26"/>
  <c r="K903" i="26"/>
  <c r="G903" i="26"/>
  <c r="L902" i="26"/>
  <c r="K902" i="26"/>
  <c r="G902" i="26"/>
  <c r="L901" i="26"/>
  <c r="K901" i="26"/>
  <c r="G901" i="26"/>
  <c r="L900" i="26"/>
  <c r="M900" i="26" s="1"/>
  <c r="O900" i="26" s="1"/>
  <c r="K900" i="26"/>
  <c r="G900" i="26"/>
  <c r="L899" i="26"/>
  <c r="M899" i="26" s="1"/>
  <c r="O899" i="26" s="1"/>
  <c r="K899" i="26"/>
  <c r="G899" i="26"/>
  <c r="L898" i="26"/>
  <c r="K898" i="26"/>
  <c r="G898" i="26"/>
  <c r="L897" i="26"/>
  <c r="K897" i="26"/>
  <c r="G897" i="26"/>
  <c r="L896" i="26"/>
  <c r="K896" i="26"/>
  <c r="G896" i="26"/>
  <c r="L895" i="26"/>
  <c r="M895" i="26" s="1"/>
  <c r="O895" i="26" s="1"/>
  <c r="K895" i="26"/>
  <c r="G895" i="26"/>
  <c r="L894" i="26"/>
  <c r="K894" i="26"/>
  <c r="G894" i="26"/>
  <c r="L893" i="26"/>
  <c r="K893" i="26"/>
  <c r="G893" i="26"/>
  <c r="L892" i="26"/>
  <c r="M892" i="26" s="1"/>
  <c r="O892" i="26" s="1"/>
  <c r="K892" i="26"/>
  <c r="G892" i="26"/>
  <c r="L891" i="26"/>
  <c r="M891" i="26" s="1"/>
  <c r="O891" i="26" s="1"/>
  <c r="K891" i="26"/>
  <c r="G891" i="26"/>
  <c r="L890" i="26"/>
  <c r="K890" i="26"/>
  <c r="G890" i="26"/>
  <c r="L889" i="26"/>
  <c r="K889" i="26"/>
  <c r="G889" i="26"/>
  <c r="L888" i="26"/>
  <c r="K888" i="26"/>
  <c r="G888" i="26"/>
  <c r="L887" i="26"/>
  <c r="K887" i="26"/>
  <c r="G887" i="26"/>
  <c r="L886" i="26"/>
  <c r="K886" i="26"/>
  <c r="G886" i="26"/>
  <c r="L885" i="26"/>
  <c r="K885" i="26"/>
  <c r="G885" i="26"/>
  <c r="L884" i="26"/>
  <c r="K884" i="26"/>
  <c r="G884" i="26"/>
  <c r="L883" i="26"/>
  <c r="K883" i="26"/>
  <c r="G883" i="26"/>
  <c r="L882" i="26"/>
  <c r="K882" i="26"/>
  <c r="G882" i="26"/>
  <c r="L881" i="26"/>
  <c r="K881" i="26"/>
  <c r="G881" i="26"/>
  <c r="L880" i="26"/>
  <c r="K880" i="26"/>
  <c r="G880" i="26"/>
  <c r="L879" i="26"/>
  <c r="K879" i="26"/>
  <c r="G879" i="26"/>
  <c r="L878" i="26"/>
  <c r="K878" i="26"/>
  <c r="G878" i="26"/>
  <c r="M877" i="26"/>
  <c r="O877" i="26" s="1"/>
  <c r="L877" i="26"/>
  <c r="K877" i="26"/>
  <c r="L876" i="26"/>
  <c r="K876" i="26"/>
  <c r="L875" i="26"/>
  <c r="K875" i="26"/>
  <c r="M875" i="26" s="1"/>
  <c r="O875" i="26" s="1"/>
  <c r="L874" i="26"/>
  <c r="K874" i="26"/>
  <c r="L873" i="26"/>
  <c r="K873" i="26"/>
  <c r="M873" i="26" s="1"/>
  <c r="O873" i="26" s="1"/>
  <c r="L872" i="26"/>
  <c r="K872" i="26"/>
  <c r="L871" i="26"/>
  <c r="M871" i="26" s="1"/>
  <c r="O871" i="26" s="1"/>
  <c r="K871" i="26"/>
  <c r="L870" i="26"/>
  <c r="M870" i="26" s="1"/>
  <c r="O870" i="26" s="1"/>
  <c r="K870" i="26"/>
  <c r="L869" i="26"/>
  <c r="K869" i="26"/>
  <c r="M869" i="26" s="1"/>
  <c r="O869" i="26" s="1"/>
  <c r="L868" i="26"/>
  <c r="K868" i="26"/>
  <c r="L867" i="26"/>
  <c r="K867" i="26"/>
  <c r="M867" i="26" s="1"/>
  <c r="O867" i="26" s="1"/>
  <c r="L866" i="26"/>
  <c r="K866" i="26"/>
  <c r="M866" i="26" s="1"/>
  <c r="O866" i="26" s="1"/>
  <c r="L865" i="26"/>
  <c r="K865" i="26"/>
  <c r="G865" i="26"/>
  <c r="L864" i="26"/>
  <c r="K864" i="26"/>
  <c r="G864" i="26"/>
  <c r="L863" i="26"/>
  <c r="K863" i="26"/>
  <c r="G863" i="26"/>
  <c r="L862" i="26"/>
  <c r="K862" i="26"/>
  <c r="G862" i="26"/>
  <c r="L861" i="26"/>
  <c r="K861" i="26"/>
  <c r="G861" i="26"/>
  <c r="L860" i="26"/>
  <c r="K860" i="26"/>
  <c r="G860" i="26"/>
  <c r="L859" i="26"/>
  <c r="K859" i="26"/>
  <c r="G859" i="26"/>
  <c r="L858" i="26"/>
  <c r="K858" i="26"/>
  <c r="G858" i="26"/>
  <c r="L857" i="26"/>
  <c r="K857" i="26"/>
  <c r="G857" i="26"/>
  <c r="L856" i="26"/>
  <c r="K856" i="26"/>
  <c r="G856" i="26"/>
  <c r="L855" i="26"/>
  <c r="K855" i="26"/>
  <c r="G855" i="26"/>
  <c r="L854" i="26"/>
  <c r="K854" i="26"/>
  <c r="G854" i="26"/>
  <c r="L853" i="26"/>
  <c r="K853" i="26"/>
  <c r="G853" i="26"/>
  <c r="L852" i="26"/>
  <c r="K852" i="26"/>
  <c r="G852" i="26"/>
  <c r="L851" i="26"/>
  <c r="K851" i="26"/>
  <c r="G851" i="26"/>
  <c r="L850" i="26"/>
  <c r="K850" i="26"/>
  <c r="G850" i="26"/>
  <c r="L849" i="26"/>
  <c r="K849" i="26"/>
  <c r="G849" i="26"/>
  <c r="L848" i="26"/>
  <c r="K848" i="26"/>
  <c r="G848" i="26"/>
  <c r="L847" i="26"/>
  <c r="K847" i="26"/>
  <c r="G847" i="26"/>
  <c r="L846" i="26"/>
  <c r="K846" i="26"/>
  <c r="G846" i="26"/>
  <c r="L845" i="26"/>
  <c r="K845" i="26"/>
  <c r="G845" i="26"/>
  <c r="L844" i="26"/>
  <c r="K844" i="26"/>
  <c r="G844" i="26"/>
  <c r="M844" i="26" s="1"/>
  <c r="O844" i="26" s="1"/>
  <c r="L843" i="26"/>
  <c r="K843" i="26"/>
  <c r="G843" i="26"/>
  <c r="L842" i="26"/>
  <c r="K842" i="26"/>
  <c r="G842" i="26"/>
  <c r="L841" i="26"/>
  <c r="K841" i="26"/>
  <c r="G841" i="26"/>
  <c r="L840" i="26"/>
  <c r="K840" i="26"/>
  <c r="G840" i="26"/>
  <c r="L839" i="26"/>
  <c r="K839" i="26"/>
  <c r="G839" i="26"/>
  <c r="L838" i="26"/>
  <c r="K838" i="26"/>
  <c r="G838" i="26"/>
  <c r="L837" i="26"/>
  <c r="K837" i="26"/>
  <c r="G837" i="26"/>
  <c r="L836" i="26"/>
  <c r="K836" i="26"/>
  <c r="G836" i="26"/>
  <c r="L835" i="26"/>
  <c r="K835" i="26"/>
  <c r="G835" i="26"/>
  <c r="L834" i="26"/>
  <c r="K834" i="26"/>
  <c r="G834" i="26"/>
  <c r="L833" i="26"/>
  <c r="K833" i="26"/>
  <c r="G833" i="26"/>
  <c r="L832" i="26"/>
  <c r="K832" i="26"/>
  <c r="G832" i="26"/>
  <c r="L831" i="26"/>
  <c r="K831" i="26"/>
  <c r="G831" i="26"/>
  <c r="L830" i="26"/>
  <c r="M830" i="26" s="1"/>
  <c r="O830" i="26" s="1"/>
  <c r="K830" i="26"/>
  <c r="G830" i="26"/>
  <c r="L829" i="26"/>
  <c r="K829" i="26"/>
  <c r="G829" i="26"/>
  <c r="L828" i="26"/>
  <c r="K828" i="26"/>
  <c r="G828" i="26"/>
  <c r="L827" i="26"/>
  <c r="K827" i="26"/>
  <c r="G827" i="26"/>
  <c r="L826" i="26"/>
  <c r="K826" i="26"/>
  <c r="G826" i="26"/>
  <c r="M826" i="26" s="1"/>
  <c r="O826" i="26" s="1"/>
  <c r="L825" i="26"/>
  <c r="K825" i="26"/>
  <c r="G825" i="26"/>
  <c r="M825" i="26" s="1"/>
  <c r="O825" i="26" s="1"/>
  <c r="L824" i="26"/>
  <c r="K824" i="26"/>
  <c r="G824" i="26"/>
  <c r="L823" i="26"/>
  <c r="K823" i="26"/>
  <c r="G823" i="26"/>
  <c r="L822" i="26"/>
  <c r="M822" i="26" s="1"/>
  <c r="O822" i="26" s="1"/>
  <c r="K822" i="26"/>
  <c r="G822" i="26"/>
  <c r="L821" i="26"/>
  <c r="K821" i="26"/>
  <c r="G821" i="26"/>
  <c r="L820" i="26"/>
  <c r="K820" i="26"/>
  <c r="G820" i="26"/>
  <c r="L819" i="26"/>
  <c r="K819" i="26"/>
  <c r="G819" i="26"/>
  <c r="L818" i="26"/>
  <c r="M818" i="26" s="1"/>
  <c r="O818" i="26" s="1"/>
  <c r="K818" i="26"/>
  <c r="G818" i="26"/>
  <c r="L817" i="26"/>
  <c r="M817" i="26" s="1"/>
  <c r="O817" i="26" s="1"/>
  <c r="K817" i="26"/>
  <c r="G817" i="26"/>
  <c r="L816" i="26"/>
  <c r="K816" i="26"/>
  <c r="G816" i="26"/>
  <c r="L815" i="26"/>
  <c r="K815" i="26"/>
  <c r="G815" i="26"/>
  <c r="L814" i="26"/>
  <c r="M814" i="26" s="1"/>
  <c r="O814" i="26" s="1"/>
  <c r="K814" i="26"/>
  <c r="G814" i="26"/>
  <c r="L813" i="26"/>
  <c r="M813" i="26" s="1"/>
  <c r="O813" i="26" s="1"/>
  <c r="K813" i="26"/>
  <c r="G813" i="26"/>
  <c r="L812" i="26"/>
  <c r="K812" i="26"/>
  <c r="G812" i="26"/>
  <c r="L811" i="26"/>
  <c r="K811" i="26"/>
  <c r="G811" i="26"/>
  <c r="L810" i="26"/>
  <c r="M810" i="26" s="1"/>
  <c r="O810" i="26" s="1"/>
  <c r="K810" i="26"/>
  <c r="G810" i="26"/>
  <c r="L809" i="26"/>
  <c r="M809" i="26" s="1"/>
  <c r="O809" i="26" s="1"/>
  <c r="K809" i="26"/>
  <c r="G809" i="26"/>
  <c r="L808" i="26"/>
  <c r="K808" i="26"/>
  <c r="G808" i="26"/>
  <c r="L807" i="26"/>
  <c r="K807" i="26"/>
  <c r="G807" i="26"/>
  <c r="L806" i="26"/>
  <c r="K806" i="26"/>
  <c r="G806" i="26"/>
  <c r="M806" i="26" s="1"/>
  <c r="O806" i="26" s="1"/>
  <c r="L805" i="26"/>
  <c r="K805" i="26"/>
  <c r="G805" i="26"/>
  <c r="L804" i="26"/>
  <c r="K804" i="26"/>
  <c r="G804" i="26"/>
  <c r="L803" i="26"/>
  <c r="K803" i="26"/>
  <c r="G803" i="26"/>
  <c r="L802" i="26"/>
  <c r="M802" i="26" s="1"/>
  <c r="O802" i="26" s="1"/>
  <c r="K802" i="26"/>
  <c r="G802" i="26"/>
  <c r="L801" i="26"/>
  <c r="K801" i="26"/>
  <c r="M801" i="26" s="1"/>
  <c r="O801" i="26" s="1"/>
  <c r="G801" i="26"/>
  <c r="L800" i="26"/>
  <c r="K800" i="26"/>
  <c r="G800" i="26"/>
  <c r="L799" i="26"/>
  <c r="K799" i="26"/>
  <c r="G799" i="26"/>
  <c r="M799" i="26" s="1"/>
  <c r="O799" i="26" s="1"/>
  <c r="L798" i="26"/>
  <c r="K798" i="26"/>
  <c r="G798" i="26"/>
  <c r="M798" i="26" s="1"/>
  <c r="O798" i="26" s="1"/>
  <c r="L797" i="26"/>
  <c r="K797" i="26"/>
  <c r="G797" i="26"/>
  <c r="L796" i="26"/>
  <c r="K796" i="26"/>
  <c r="G796" i="26"/>
  <c r="L795" i="26"/>
  <c r="K795" i="26"/>
  <c r="G795" i="26"/>
  <c r="L794" i="26"/>
  <c r="K794" i="26"/>
  <c r="G794" i="26"/>
  <c r="L793" i="26"/>
  <c r="M793" i="26" s="1"/>
  <c r="O793" i="26" s="1"/>
  <c r="K793" i="26"/>
  <c r="M792" i="26"/>
  <c r="O792" i="26" s="1"/>
  <c r="L792" i="26"/>
  <c r="K792" i="26"/>
  <c r="L791" i="26"/>
  <c r="K791" i="26"/>
  <c r="M790" i="26"/>
  <c r="O790" i="26" s="1"/>
  <c r="L790" i="26"/>
  <c r="K790" i="26"/>
  <c r="L789" i="26"/>
  <c r="M789" i="26" s="1"/>
  <c r="O789" i="26" s="1"/>
  <c r="K789" i="26"/>
  <c r="L788" i="26"/>
  <c r="K788" i="26"/>
  <c r="M788" i="26" s="1"/>
  <c r="O788" i="26" s="1"/>
  <c r="L787" i="26"/>
  <c r="M787" i="26" s="1"/>
  <c r="O787" i="26" s="1"/>
  <c r="K787" i="26"/>
  <c r="L786" i="26"/>
  <c r="M786" i="26" s="1"/>
  <c r="O786" i="26" s="1"/>
  <c r="K786" i="26"/>
  <c r="L785" i="26"/>
  <c r="K785" i="26"/>
  <c r="M785" i="26" s="1"/>
  <c r="O785" i="26" s="1"/>
  <c r="L784" i="26"/>
  <c r="K784" i="26"/>
  <c r="L783" i="26"/>
  <c r="K783" i="26"/>
  <c r="L782" i="26"/>
  <c r="M782" i="26" s="1"/>
  <c r="O782" i="26" s="1"/>
  <c r="K782" i="26"/>
  <c r="L781" i="26"/>
  <c r="K781" i="26"/>
  <c r="G781" i="26"/>
  <c r="L780" i="26"/>
  <c r="M780" i="26" s="1"/>
  <c r="O780" i="26" s="1"/>
  <c r="K780" i="26"/>
  <c r="G780" i="26"/>
  <c r="L779" i="26"/>
  <c r="K779" i="26"/>
  <c r="G779" i="26"/>
  <c r="L778" i="26"/>
  <c r="K778" i="26"/>
  <c r="G778" i="26"/>
  <c r="L777" i="26"/>
  <c r="K777" i="26"/>
  <c r="G777" i="26"/>
  <c r="L776" i="26"/>
  <c r="K776" i="26"/>
  <c r="G776" i="26"/>
  <c r="L775" i="26"/>
  <c r="M775" i="26" s="1"/>
  <c r="O775" i="26" s="1"/>
  <c r="K775" i="26"/>
  <c r="G775" i="26"/>
  <c r="L774" i="26"/>
  <c r="K774" i="26"/>
  <c r="G774" i="26"/>
  <c r="L773" i="26"/>
  <c r="K773" i="26"/>
  <c r="G773" i="26"/>
  <c r="M773" i="26" s="1"/>
  <c r="O773" i="26" s="1"/>
  <c r="L772" i="26"/>
  <c r="K772" i="26"/>
  <c r="G772" i="26"/>
  <c r="M772" i="26" s="1"/>
  <c r="O772" i="26" s="1"/>
  <c r="L771" i="26"/>
  <c r="K771" i="26"/>
  <c r="G771" i="26"/>
  <c r="L770" i="26"/>
  <c r="K770" i="26"/>
  <c r="G770" i="26"/>
  <c r="M770" i="26" s="1"/>
  <c r="O770" i="26" s="1"/>
  <c r="L769" i="26"/>
  <c r="K769" i="26"/>
  <c r="L768" i="26"/>
  <c r="K768" i="26"/>
  <c r="M768" i="26" s="1"/>
  <c r="O768" i="26" s="1"/>
  <c r="M767" i="26"/>
  <c r="O767" i="26" s="1"/>
  <c r="L767" i="26"/>
  <c r="K767" i="26"/>
  <c r="L766" i="26"/>
  <c r="K766" i="26"/>
  <c r="L765" i="26"/>
  <c r="K765" i="26"/>
  <c r="L764" i="26"/>
  <c r="K764" i="26"/>
  <c r="L763" i="26"/>
  <c r="M763" i="26" s="1"/>
  <c r="O763" i="26" s="1"/>
  <c r="K763" i="26"/>
  <c r="M762" i="26"/>
  <c r="O762" i="26" s="1"/>
  <c r="L762" i="26"/>
  <c r="K762" i="26"/>
  <c r="L761" i="26"/>
  <c r="K761" i="26"/>
  <c r="L760" i="26"/>
  <c r="M760" i="26" s="1"/>
  <c r="O760" i="26" s="1"/>
  <c r="K760" i="26"/>
  <c r="L759" i="26"/>
  <c r="K759" i="26"/>
  <c r="L758" i="26"/>
  <c r="M758" i="26" s="1"/>
  <c r="O758" i="26" s="1"/>
  <c r="K758" i="26"/>
  <c r="L757" i="26"/>
  <c r="M757" i="26" s="1"/>
  <c r="O757" i="26" s="1"/>
  <c r="K757" i="26"/>
  <c r="G757" i="26"/>
  <c r="L756" i="26"/>
  <c r="K756" i="26"/>
  <c r="G756" i="26"/>
  <c r="L755" i="26"/>
  <c r="K755" i="26"/>
  <c r="G755" i="26"/>
  <c r="L754" i="26"/>
  <c r="K754" i="26"/>
  <c r="G754" i="26"/>
  <c r="L753" i="26"/>
  <c r="M753" i="26" s="1"/>
  <c r="O753" i="26" s="1"/>
  <c r="K753" i="26"/>
  <c r="G753" i="26"/>
  <c r="L752" i="26"/>
  <c r="K752" i="26"/>
  <c r="G752" i="26"/>
  <c r="L751" i="26"/>
  <c r="K751" i="26"/>
  <c r="G751" i="26"/>
  <c r="L750" i="26"/>
  <c r="K750" i="26"/>
  <c r="G750" i="26"/>
  <c r="M750" i="26" s="1"/>
  <c r="O750" i="26" s="1"/>
  <c r="L749" i="26"/>
  <c r="K749" i="26"/>
  <c r="G749" i="26"/>
  <c r="M749" i="26" s="1"/>
  <c r="O749" i="26" s="1"/>
  <c r="L748" i="26"/>
  <c r="K748" i="26"/>
  <c r="G748" i="26"/>
  <c r="M748" i="26" s="1"/>
  <c r="O748" i="26" s="1"/>
  <c r="L747" i="26"/>
  <c r="K747" i="26"/>
  <c r="G747" i="26"/>
  <c r="L746" i="26"/>
  <c r="K746" i="26"/>
  <c r="G746" i="26"/>
  <c r="L745" i="26"/>
  <c r="K745" i="26"/>
  <c r="M744" i="26"/>
  <c r="O744" i="26" s="1"/>
  <c r="L744" i="26"/>
  <c r="K744" i="26"/>
  <c r="L743" i="26"/>
  <c r="M743" i="26" s="1"/>
  <c r="O743" i="26" s="1"/>
  <c r="K743" i="26"/>
  <c r="L742" i="26"/>
  <c r="M742" i="26" s="1"/>
  <c r="O742" i="26" s="1"/>
  <c r="K742" i="26"/>
  <c r="M741" i="26"/>
  <c r="O741" i="26" s="1"/>
  <c r="L741" i="26"/>
  <c r="K741" i="26"/>
  <c r="L740" i="26"/>
  <c r="K740" i="26"/>
  <c r="M740" i="26" s="1"/>
  <c r="O740" i="26" s="1"/>
  <c r="L739" i="26"/>
  <c r="M739" i="26" s="1"/>
  <c r="O739" i="26" s="1"/>
  <c r="K739" i="26"/>
  <c r="L738" i="26"/>
  <c r="K738" i="26"/>
  <c r="M737" i="26"/>
  <c r="O737" i="26" s="1"/>
  <c r="L737" i="26"/>
  <c r="K737" i="26"/>
  <c r="L736" i="26"/>
  <c r="K736" i="26"/>
  <c r="L735" i="26"/>
  <c r="K735" i="26"/>
  <c r="M734" i="26"/>
  <c r="O734" i="26" s="1"/>
  <c r="L734" i="26"/>
  <c r="K734" i="26"/>
  <c r="L733" i="26"/>
  <c r="K733" i="26"/>
  <c r="G733" i="26"/>
  <c r="L732" i="26"/>
  <c r="K732" i="26"/>
  <c r="G732" i="26"/>
  <c r="L731" i="26"/>
  <c r="K731" i="26"/>
  <c r="G731" i="26"/>
  <c r="L730" i="26"/>
  <c r="M730" i="26" s="1"/>
  <c r="O730" i="26" s="1"/>
  <c r="K730" i="26"/>
  <c r="G730" i="26"/>
  <c r="L729" i="26"/>
  <c r="K729" i="26"/>
  <c r="G729" i="26"/>
  <c r="L728" i="26"/>
  <c r="K728" i="26"/>
  <c r="G728" i="26"/>
  <c r="L727" i="26"/>
  <c r="K727" i="26"/>
  <c r="G727" i="26"/>
  <c r="L726" i="26"/>
  <c r="M726" i="26" s="1"/>
  <c r="O726" i="26" s="1"/>
  <c r="K726" i="26"/>
  <c r="G726" i="26"/>
  <c r="L725" i="26"/>
  <c r="K725" i="26"/>
  <c r="G725" i="26"/>
  <c r="L724" i="26"/>
  <c r="K724" i="26"/>
  <c r="G724" i="26"/>
  <c r="L723" i="26"/>
  <c r="K723" i="26"/>
  <c r="G723" i="26"/>
  <c r="M722" i="26"/>
  <c r="O722" i="26" s="1"/>
  <c r="L722" i="26"/>
  <c r="K722" i="26"/>
  <c r="G722" i="26"/>
  <c r="L721" i="26"/>
  <c r="M721" i="26" s="1"/>
  <c r="O721" i="26" s="1"/>
  <c r="K721" i="26"/>
  <c r="G721" i="26"/>
  <c r="L720" i="26"/>
  <c r="M720" i="26" s="1"/>
  <c r="O720" i="26" s="1"/>
  <c r="K720" i="26"/>
  <c r="G720" i="26"/>
  <c r="L719" i="26"/>
  <c r="K719" i="26"/>
  <c r="G719" i="26"/>
  <c r="L718" i="26"/>
  <c r="K718" i="26"/>
  <c r="G718" i="26"/>
  <c r="M718" i="26" s="1"/>
  <c r="O718" i="26" s="1"/>
  <c r="L717" i="26"/>
  <c r="K717" i="26"/>
  <c r="G717" i="26"/>
  <c r="L716" i="26"/>
  <c r="K716" i="26"/>
  <c r="G716" i="26"/>
  <c r="M716" i="26" s="1"/>
  <c r="O716" i="26" s="1"/>
  <c r="L715" i="26"/>
  <c r="K715" i="26"/>
  <c r="G715" i="26"/>
  <c r="L714" i="26"/>
  <c r="K714" i="26"/>
  <c r="G714" i="26"/>
  <c r="M714" i="26" s="1"/>
  <c r="O714" i="26" s="1"/>
  <c r="L713" i="26"/>
  <c r="K713" i="26"/>
  <c r="G713" i="26"/>
  <c r="L712" i="26"/>
  <c r="M712" i="26" s="1"/>
  <c r="O712" i="26" s="1"/>
  <c r="K712" i="26"/>
  <c r="G712" i="26"/>
  <c r="L711" i="26"/>
  <c r="K711" i="26"/>
  <c r="G711" i="26"/>
  <c r="L710" i="26"/>
  <c r="K710" i="26"/>
  <c r="G710" i="26"/>
  <c r="M710" i="26" s="1"/>
  <c r="O710" i="26" s="1"/>
  <c r="L709" i="26"/>
  <c r="K709" i="26"/>
  <c r="G709" i="26"/>
  <c r="L708" i="26"/>
  <c r="K708" i="26"/>
  <c r="G708" i="26"/>
  <c r="L707" i="26"/>
  <c r="K707" i="26"/>
  <c r="G707" i="26"/>
  <c r="L706" i="26"/>
  <c r="K706" i="26"/>
  <c r="G706" i="26"/>
  <c r="M706" i="26" s="1"/>
  <c r="O706" i="26" s="1"/>
  <c r="L705" i="26"/>
  <c r="K705" i="26"/>
  <c r="G705" i="26"/>
  <c r="L704" i="26"/>
  <c r="K704" i="26"/>
  <c r="G704" i="26"/>
  <c r="L703" i="26"/>
  <c r="K703" i="26"/>
  <c r="G703" i="26"/>
  <c r="L702" i="26"/>
  <c r="K702" i="26"/>
  <c r="G702" i="26"/>
  <c r="M702" i="26" s="1"/>
  <c r="O702" i="26" s="1"/>
  <c r="L701" i="26"/>
  <c r="K701" i="26"/>
  <c r="G701" i="26"/>
  <c r="L700" i="26"/>
  <c r="K700" i="26"/>
  <c r="G700" i="26"/>
  <c r="L699" i="26"/>
  <c r="K699" i="26"/>
  <c r="G699" i="26"/>
  <c r="L698" i="26"/>
  <c r="K698" i="26"/>
  <c r="G698" i="26"/>
  <c r="M697" i="26"/>
  <c r="O697" i="26" s="1"/>
  <c r="L697" i="26"/>
  <c r="K697" i="26"/>
  <c r="L696" i="26"/>
  <c r="K696" i="26"/>
  <c r="L695" i="26"/>
  <c r="M695" i="26" s="1"/>
  <c r="O695" i="26" s="1"/>
  <c r="K695" i="26"/>
  <c r="L694" i="26"/>
  <c r="M694" i="26" s="1"/>
  <c r="O694" i="26" s="1"/>
  <c r="K694" i="26"/>
  <c r="L693" i="26"/>
  <c r="K693" i="26"/>
  <c r="M693" i="26" s="1"/>
  <c r="O693" i="26" s="1"/>
  <c r="L692" i="26"/>
  <c r="K692" i="26"/>
  <c r="L691" i="26"/>
  <c r="K691" i="26"/>
  <c r="L690" i="26"/>
  <c r="M690" i="26" s="1"/>
  <c r="O690" i="26" s="1"/>
  <c r="K690" i="26"/>
  <c r="L689" i="26"/>
  <c r="M689" i="26" s="1"/>
  <c r="O689" i="26" s="1"/>
  <c r="K689" i="26"/>
  <c r="L688" i="26"/>
  <c r="K688" i="26"/>
  <c r="L687" i="26"/>
  <c r="M687" i="26" s="1"/>
  <c r="O687" i="26" s="1"/>
  <c r="K687" i="26"/>
  <c r="L686" i="26"/>
  <c r="K686" i="26"/>
  <c r="M686" i="26" s="1"/>
  <c r="O686" i="26" s="1"/>
  <c r="L685" i="26"/>
  <c r="K685" i="26"/>
  <c r="G685" i="26"/>
  <c r="L684" i="26"/>
  <c r="K684" i="26"/>
  <c r="G684" i="26"/>
  <c r="L683" i="26"/>
  <c r="K683" i="26"/>
  <c r="G683" i="26"/>
  <c r="L682" i="26"/>
  <c r="K682" i="26"/>
  <c r="G682" i="26"/>
  <c r="L681" i="26"/>
  <c r="K681" i="26"/>
  <c r="G681" i="26"/>
  <c r="L680" i="26"/>
  <c r="K680" i="26"/>
  <c r="G680" i="26"/>
  <c r="L679" i="26"/>
  <c r="K679" i="26"/>
  <c r="G679" i="26"/>
  <c r="L678" i="26"/>
  <c r="K678" i="26"/>
  <c r="G678" i="26"/>
  <c r="L677" i="26"/>
  <c r="K677" i="26"/>
  <c r="G677" i="26"/>
  <c r="L676" i="26"/>
  <c r="K676" i="26"/>
  <c r="G676" i="26"/>
  <c r="L675" i="26"/>
  <c r="K675" i="26"/>
  <c r="G675" i="26"/>
  <c r="L674" i="26"/>
  <c r="K674" i="26"/>
  <c r="G674" i="26"/>
  <c r="M674" i="26" s="1"/>
  <c r="O674" i="26" s="1"/>
  <c r="L673" i="26"/>
  <c r="K673" i="26"/>
  <c r="G673" i="26"/>
  <c r="L672" i="26"/>
  <c r="K672" i="26"/>
  <c r="G672" i="26"/>
  <c r="M672" i="26" s="1"/>
  <c r="O672" i="26" s="1"/>
  <c r="L671" i="26"/>
  <c r="K671" i="26"/>
  <c r="G671" i="26"/>
  <c r="L670" i="26"/>
  <c r="K670" i="26"/>
  <c r="G670" i="26"/>
  <c r="M670" i="26" s="1"/>
  <c r="O670" i="26" s="1"/>
  <c r="L669" i="26"/>
  <c r="K669" i="26"/>
  <c r="G669" i="26"/>
  <c r="L668" i="26"/>
  <c r="K668" i="26"/>
  <c r="G668" i="26"/>
  <c r="L667" i="26"/>
  <c r="K667" i="26"/>
  <c r="G667" i="26"/>
  <c r="L666" i="26"/>
  <c r="K666" i="26"/>
  <c r="G666" i="26"/>
  <c r="M666" i="26" s="1"/>
  <c r="O666" i="26" s="1"/>
  <c r="L665" i="26"/>
  <c r="K665" i="26"/>
  <c r="G665" i="26"/>
  <c r="L664" i="26"/>
  <c r="K664" i="26"/>
  <c r="G664" i="26"/>
  <c r="M664" i="26" s="1"/>
  <c r="O664" i="26" s="1"/>
  <c r="L663" i="26"/>
  <c r="K663" i="26"/>
  <c r="G663" i="26"/>
  <c r="L662" i="26"/>
  <c r="K662" i="26"/>
  <c r="G662" i="26"/>
  <c r="L661" i="26"/>
  <c r="K661" i="26"/>
  <c r="M660" i="26"/>
  <c r="O660" i="26" s="1"/>
  <c r="L660" i="26"/>
  <c r="K660" i="26"/>
  <c r="L659" i="26"/>
  <c r="K659" i="26"/>
  <c r="L658" i="26"/>
  <c r="K658" i="26"/>
  <c r="L657" i="26"/>
  <c r="M657" i="26" s="1"/>
  <c r="O657" i="26" s="1"/>
  <c r="K657" i="26"/>
  <c r="L656" i="26"/>
  <c r="K656" i="26"/>
  <c r="M656" i="26" s="1"/>
  <c r="O656" i="26" s="1"/>
  <c r="L655" i="26"/>
  <c r="K655" i="26"/>
  <c r="L654" i="26"/>
  <c r="K654" i="26"/>
  <c r="L653" i="26"/>
  <c r="M653" i="26" s="1"/>
  <c r="O653" i="26" s="1"/>
  <c r="K653" i="26"/>
  <c r="L652" i="26"/>
  <c r="M652" i="26" s="1"/>
  <c r="O652" i="26" s="1"/>
  <c r="K652" i="26"/>
  <c r="L651" i="26"/>
  <c r="K651" i="26"/>
  <c r="L650" i="26"/>
  <c r="M650" i="26" s="1"/>
  <c r="O650" i="26" s="1"/>
  <c r="K650" i="26"/>
  <c r="L649" i="26"/>
  <c r="K649" i="26"/>
  <c r="G649" i="26"/>
  <c r="M649" i="26" s="1"/>
  <c r="O649" i="26" s="1"/>
  <c r="L648" i="26"/>
  <c r="K648" i="26"/>
  <c r="G648" i="26"/>
  <c r="L647" i="26"/>
  <c r="K647" i="26"/>
  <c r="G647" i="26"/>
  <c r="M647" i="26" s="1"/>
  <c r="O647" i="26" s="1"/>
  <c r="L646" i="26"/>
  <c r="M646" i="26" s="1"/>
  <c r="O646" i="26" s="1"/>
  <c r="K646" i="26"/>
  <c r="G646" i="26"/>
  <c r="M645" i="26"/>
  <c r="O645" i="26" s="1"/>
  <c r="L645" i="26"/>
  <c r="K645" i="26"/>
  <c r="G645" i="26"/>
  <c r="L644" i="26"/>
  <c r="M644" i="26" s="1"/>
  <c r="O644" i="26" s="1"/>
  <c r="K644" i="26"/>
  <c r="G644" i="26"/>
  <c r="L643" i="26"/>
  <c r="K643" i="26"/>
  <c r="G643" i="26"/>
  <c r="L642" i="26"/>
  <c r="K642" i="26"/>
  <c r="G642" i="26"/>
  <c r="L641" i="26"/>
  <c r="K641" i="26"/>
  <c r="G641" i="26"/>
  <c r="M641" i="26" s="1"/>
  <c r="O641" i="26" s="1"/>
  <c r="L640" i="26"/>
  <c r="K640" i="26"/>
  <c r="G640" i="26"/>
  <c r="L639" i="26"/>
  <c r="K639" i="26"/>
  <c r="G639" i="26"/>
  <c r="M639" i="26" s="1"/>
  <c r="O639" i="26" s="1"/>
  <c r="L638" i="26"/>
  <c r="K638" i="26"/>
  <c r="G638" i="26"/>
  <c r="L637" i="26"/>
  <c r="K637" i="26"/>
  <c r="G637" i="26"/>
  <c r="L636" i="26"/>
  <c r="K636" i="26"/>
  <c r="G636" i="26"/>
  <c r="L635" i="26"/>
  <c r="K635" i="26"/>
  <c r="G635" i="26"/>
  <c r="M635" i="26" s="1"/>
  <c r="O635" i="26" s="1"/>
  <c r="L634" i="26"/>
  <c r="K634" i="26"/>
  <c r="G634" i="26"/>
  <c r="L633" i="26"/>
  <c r="K633" i="26"/>
  <c r="G633" i="26"/>
  <c r="L632" i="26"/>
  <c r="K632" i="26"/>
  <c r="G632" i="26"/>
  <c r="L631" i="26"/>
  <c r="K631" i="26"/>
  <c r="G631" i="26"/>
  <c r="M631" i="26" s="1"/>
  <c r="O631" i="26" s="1"/>
  <c r="L630" i="26"/>
  <c r="K630" i="26"/>
  <c r="G630" i="26"/>
  <c r="L629" i="26"/>
  <c r="K629" i="26"/>
  <c r="G629" i="26"/>
  <c r="L628" i="26"/>
  <c r="K628" i="26"/>
  <c r="G628" i="26"/>
  <c r="L627" i="26"/>
  <c r="K627" i="26"/>
  <c r="G627" i="26"/>
  <c r="M627" i="26" s="1"/>
  <c r="O627" i="26" s="1"/>
  <c r="L626" i="26"/>
  <c r="K626" i="26"/>
  <c r="G626" i="26"/>
  <c r="M626" i="26" s="1"/>
  <c r="O626" i="26" s="1"/>
  <c r="L625" i="26"/>
  <c r="K625" i="26"/>
  <c r="G625" i="26"/>
  <c r="M624" i="26"/>
  <c r="O624" i="26" s="1"/>
  <c r="L624" i="26"/>
  <c r="K624" i="26"/>
  <c r="G624" i="26"/>
  <c r="L623" i="26"/>
  <c r="K623" i="26"/>
  <c r="G623" i="26"/>
  <c r="L622" i="26"/>
  <c r="K622" i="26"/>
  <c r="G622" i="26"/>
  <c r="L621" i="26"/>
  <c r="K621" i="26"/>
  <c r="G621" i="26"/>
  <c r="L620" i="26"/>
  <c r="K620" i="26"/>
  <c r="G620" i="26"/>
  <c r="M620" i="26" s="1"/>
  <c r="O620" i="26" s="1"/>
  <c r="L619" i="26"/>
  <c r="K619" i="26"/>
  <c r="G619" i="26"/>
  <c r="L618" i="26"/>
  <c r="K618" i="26"/>
  <c r="G618" i="26"/>
  <c r="M618" i="26" s="1"/>
  <c r="O618" i="26" s="1"/>
  <c r="L617" i="26"/>
  <c r="K617" i="26"/>
  <c r="G617" i="26"/>
  <c r="L616" i="26"/>
  <c r="K616" i="26"/>
  <c r="G616" i="26"/>
  <c r="M616" i="26" s="1"/>
  <c r="O616" i="26" s="1"/>
  <c r="L615" i="26"/>
  <c r="K615" i="26"/>
  <c r="G615" i="26"/>
  <c r="L614" i="26"/>
  <c r="K614" i="26"/>
  <c r="G614" i="26"/>
  <c r="M614" i="26" s="1"/>
  <c r="O614" i="26" s="1"/>
  <c r="L613" i="26"/>
  <c r="K613" i="26"/>
  <c r="G613" i="26"/>
  <c r="L612" i="26"/>
  <c r="K612" i="26"/>
  <c r="G612" i="26"/>
  <c r="L611" i="26"/>
  <c r="K611" i="26"/>
  <c r="G611" i="26"/>
  <c r="L610" i="26"/>
  <c r="K610" i="26"/>
  <c r="G610" i="26"/>
  <c r="M610" i="26" s="1"/>
  <c r="O610" i="26" s="1"/>
  <c r="L609" i="26"/>
  <c r="K609" i="26"/>
  <c r="G609" i="26"/>
  <c r="L608" i="26"/>
  <c r="K608" i="26"/>
  <c r="G608" i="26"/>
  <c r="L607" i="26"/>
  <c r="K607" i="26"/>
  <c r="G607" i="26"/>
  <c r="L606" i="26"/>
  <c r="K606" i="26"/>
  <c r="G606" i="26"/>
  <c r="M606" i="26" s="1"/>
  <c r="O606" i="26" s="1"/>
  <c r="L605" i="26"/>
  <c r="K605" i="26"/>
  <c r="G605" i="26"/>
  <c r="L604" i="26"/>
  <c r="K604" i="26"/>
  <c r="G604" i="26"/>
  <c r="L603" i="26"/>
  <c r="K603" i="26"/>
  <c r="G603" i="26"/>
  <c r="L602" i="26"/>
  <c r="K602" i="26"/>
  <c r="G602" i="26"/>
  <c r="L601" i="26"/>
  <c r="K601" i="26"/>
  <c r="M601" i="26" s="1"/>
  <c r="O601" i="26" s="1"/>
  <c r="L600" i="26"/>
  <c r="K600" i="26"/>
  <c r="L599" i="26"/>
  <c r="K599" i="26"/>
  <c r="L598" i="26"/>
  <c r="M598" i="26" s="1"/>
  <c r="O598" i="26" s="1"/>
  <c r="K598" i="26"/>
  <c r="L597" i="26"/>
  <c r="M597" i="26" s="1"/>
  <c r="O597" i="26" s="1"/>
  <c r="K597" i="26"/>
  <c r="L596" i="26"/>
  <c r="K596" i="26"/>
  <c r="L595" i="26"/>
  <c r="K595" i="26"/>
  <c r="L594" i="26"/>
  <c r="M594" i="26" s="1"/>
  <c r="O594" i="26" s="1"/>
  <c r="K594" i="26"/>
  <c r="L593" i="26"/>
  <c r="M593" i="26" s="1"/>
  <c r="O593" i="26" s="1"/>
  <c r="K593" i="26"/>
  <c r="L592" i="26"/>
  <c r="K592" i="26"/>
  <c r="M592" i="26" s="1"/>
  <c r="O592" i="26" s="1"/>
  <c r="L591" i="26"/>
  <c r="K591" i="26"/>
  <c r="L590" i="26"/>
  <c r="M590" i="26" s="1"/>
  <c r="O590" i="26" s="1"/>
  <c r="K590" i="26"/>
  <c r="L589" i="26"/>
  <c r="K589" i="26"/>
  <c r="G589" i="26"/>
  <c r="M588" i="26"/>
  <c r="O588" i="26" s="1"/>
  <c r="L588" i="26"/>
  <c r="K588" i="26"/>
  <c r="G588" i="26"/>
  <c r="L587" i="26"/>
  <c r="K587" i="26"/>
  <c r="G587" i="26"/>
  <c r="L586" i="26"/>
  <c r="K586" i="26"/>
  <c r="G586" i="26"/>
  <c r="L585" i="26"/>
  <c r="K585" i="26"/>
  <c r="G585" i="26"/>
  <c r="L584" i="26"/>
  <c r="K584" i="26"/>
  <c r="G584" i="26"/>
  <c r="M584" i="26" s="1"/>
  <c r="O584" i="26" s="1"/>
  <c r="L583" i="26"/>
  <c r="K583" i="26"/>
  <c r="G583" i="26"/>
  <c r="L582" i="26"/>
  <c r="M582" i="26" s="1"/>
  <c r="O582" i="26" s="1"/>
  <c r="K582" i="26"/>
  <c r="G582" i="26"/>
  <c r="L581" i="26"/>
  <c r="K581" i="26"/>
  <c r="G581" i="26"/>
  <c r="L580" i="26"/>
  <c r="K580" i="26"/>
  <c r="G580" i="26"/>
  <c r="L579" i="26"/>
  <c r="K579" i="26"/>
  <c r="G579" i="26"/>
  <c r="L578" i="26"/>
  <c r="K578" i="26"/>
  <c r="G578" i="26"/>
  <c r="M578" i="26" s="1"/>
  <c r="O578" i="26" s="1"/>
  <c r="L577" i="26"/>
  <c r="K577" i="26"/>
  <c r="G577" i="26"/>
  <c r="L576" i="26"/>
  <c r="K576" i="26"/>
  <c r="G576" i="26"/>
  <c r="L575" i="26"/>
  <c r="K575" i="26"/>
  <c r="G575" i="26"/>
  <c r="L574" i="26"/>
  <c r="M574" i="26" s="1"/>
  <c r="O574" i="26" s="1"/>
  <c r="K574" i="26"/>
  <c r="G574" i="26"/>
  <c r="L573" i="26"/>
  <c r="K573" i="26"/>
  <c r="G573" i="26"/>
  <c r="L572" i="26"/>
  <c r="K572" i="26"/>
  <c r="G572" i="26"/>
  <c r="M572" i="26" s="1"/>
  <c r="O572" i="26" s="1"/>
  <c r="L571" i="26"/>
  <c r="K571" i="26"/>
  <c r="G571" i="26"/>
  <c r="L570" i="26"/>
  <c r="M570" i="26" s="1"/>
  <c r="O570" i="26" s="1"/>
  <c r="K570" i="26"/>
  <c r="G570" i="26"/>
  <c r="L569" i="26"/>
  <c r="K569" i="26"/>
  <c r="G569" i="26"/>
  <c r="L568" i="26"/>
  <c r="K568" i="26"/>
  <c r="G568" i="26"/>
  <c r="M568" i="26" s="1"/>
  <c r="O568" i="26" s="1"/>
  <c r="L567" i="26"/>
  <c r="K567" i="26"/>
  <c r="G567" i="26"/>
  <c r="L566" i="26"/>
  <c r="K566" i="26"/>
  <c r="G566" i="26"/>
  <c r="L565" i="26"/>
  <c r="M565" i="26" s="1"/>
  <c r="O565" i="26" s="1"/>
  <c r="K565" i="26"/>
  <c r="L564" i="26"/>
  <c r="M564" i="26" s="1"/>
  <c r="O564" i="26" s="1"/>
  <c r="K564" i="26"/>
  <c r="L563" i="26"/>
  <c r="K563" i="26"/>
  <c r="L562" i="26"/>
  <c r="K562" i="26"/>
  <c r="L561" i="26"/>
  <c r="K561" i="26"/>
  <c r="M561" i="26" s="1"/>
  <c r="O561" i="26" s="1"/>
  <c r="M560" i="26"/>
  <c r="O560" i="26" s="1"/>
  <c r="L560" i="26"/>
  <c r="K560" i="26"/>
  <c r="L559" i="26"/>
  <c r="K559" i="26"/>
  <c r="M559" i="26" s="1"/>
  <c r="O559" i="26" s="1"/>
  <c r="L558" i="26"/>
  <c r="M558" i="26" s="1"/>
  <c r="O558" i="26" s="1"/>
  <c r="K558" i="26"/>
  <c r="L557" i="26"/>
  <c r="M557" i="26" s="1"/>
  <c r="O557" i="26" s="1"/>
  <c r="K557" i="26"/>
  <c r="L556" i="26"/>
  <c r="M556" i="26" s="1"/>
  <c r="O556" i="26" s="1"/>
  <c r="K556" i="26"/>
  <c r="L555" i="26"/>
  <c r="K555" i="26"/>
  <c r="L554" i="26"/>
  <c r="M554" i="26" s="1"/>
  <c r="O554" i="26" s="1"/>
  <c r="K554" i="26"/>
  <c r="L553" i="26"/>
  <c r="M553" i="26" s="1"/>
  <c r="O553" i="26" s="1"/>
  <c r="K553" i="26"/>
  <c r="G553" i="26"/>
  <c r="L552" i="26"/>
  <c r="K552" i="26"/>
  <c r="G552" i="26"/>
  <c r="L551" i="26"/>
  <c r="K551" i="26"/>
  <c r="G551" i="26"/>
  <c r="M551" i="26" s="1"/>
  <c r="O551" i="26" s="1"/>
  <c r="L550" i="26"/>
  <c r="K550" i="26"/>
  <c r="G550" i="26"/>
  <c r="L549" i="26"/>
  <c r="M549" i="26" s="1"/>
  <c r="O549" i="26" s="1"/>
  <c r="K549" i="26"/>
  <c r="G549" i="26"/>
  <c r="L548" i="26"/>
  <c r="K548" i="26"/>
  <c r="G548" i="26"/>
  <c r="L547" i="26"/>
  <c r="K547" i="26"/>
  <c r="G547" i="26"/>
  <c r="L546" i="26"/>
  <c r="K546" i="26"/>
  <c r="G546" i="26"/>
  <c r="L545" i="26"/>
  <c r="M545" i="26" s="1"/>
  <c r="O545" i="26" s="1"/>
  <c r="K545" i="26"/>
  <c r="G545" i="26"/>
  <c r="L544" i="26"/>
  <c r="K544" i="26"/>
  <c r="G544" i="26"/>
  <c r="L543" i="26"/>
  <c r="K543" i="26"/>
  <c r="G543" i="26"/>
  <c r="L542" i="26"/>
  <c r="K542" i="26"/>
  <c r="G542" i="26"/>
  <c r="L541" i="26"/>
  <c r="M541" i="26" s="1"/>
  <c r="O541" i="26" s="1"/>
  <c r="K541" i="26"/>
  <c r="G541" i="26"/>
  <c r="L540" i="26"/>
  <c r="K540" i="26"/>
  <c r="G540" i="26"/>
  <c r="L539" i="26"/>
  <c r="K539" i="26"/>
  <c r="G539" i="26"/>
  <c r="L538" i="26"/>
  <c r="K538" i="26"/>
  <c r="G538" i="26"/>
  <c r="L537" i="26"/>
  <c r="M537" i="26" s="1"/>
  <c r="O537" i="26" s="1"/>
  <c r="K537" i="26"/>
  <c r="G537" i="26"/>
  <c r="L536" i="26"/>
  <c r="K536" i="26"/>
  <c r="G536" i="26"/>
  <c r="L535" i="26"/>
  <c r="K535" i="26"/>
  <c r="G535" i="26"/>
  <c r="L534" i="26"/>
  <c r="K534" i="26"/>
  <c r="G534" i="26"/>
  <c r="L533" i="26"/>
  <c r="M533" i="26" s="1"/>
  <c r="O533" i="26" s="1"/>
  <c r="K533" i="26"/>
  <c r="G533" i="26"/>
  <c r="L532" i="26"/>
  <c r="K532" i="26"/>
  <c r="G532" i="26"/>
  <c r="L531" i="26"/>
  <c r="K531" i="26"/>
  <c r="G531" i="26"/>
  <c r="L530" i="26"/>
  <c r="K530" i="26"/>
  <c r="G530" i="26"/>
  <c r="M529" i="26"/>
  <c r="O529" i="26" s="1"/>
  <c r="L529" i="26"/>
  <c r="K529" i="26"/>
  <c r="L528" i="26"/>
  <c r="K528" i="26"/>
  <c r="L527" i="26"/>
  <c r="K527" i="26"/>
  <c r="M527" i="26" s="1"/>
  <c r="O527" i="26" s="1"/>
  <c r="L526" i="26"/>
  <c r="K526" i="26"/>
  <c r="L525" i="26"/>
  <c r="M525" i="26" s="1"/>
  <c r="O525" i="26" s="1"/>
  <c r="K525" i="26"/>
  <c r="L524" i="26"/>
  <c r="M524" i="26" s="1"/>
  <c r="O524" i="26" s="1"/>
  <c r="K524" i="26"/>
  <c r="L523" i="26"/>
  <c r="K523" i="26"/>
  <c r="M523" i="26" s="1"/>
  <c r="O523" i="26" s="1"/>
  <c r="L522" i="26"/>
  <c r="M522" i="26" s="1"/>
  <c r="O522" i="26" s="1"/>
  <c r="K522" i="26"/>
  <c r="L521" i="26"/>
  <c r="M521" i="26" s="1"/>
  <c r="O521" i="26" s="1"/>
  <c r="K521" i="26"/>
  <c r="L520" i="26"/>
  <c r="K520" i="26"/>
  <c r="L519" i="26"/>
  <c r="K519" i="26"/>
  <c r="M519" i="26" s="1"/>
  <c r="O519" i="26" s="1"/>
  <c r="L518" i="26"/>
  <c r="M518" i="26" s="1"/>
  <c r="O518" i="26" s="1"/>
  <c r="K518" i="26"/>
  <c r="L517" i="26"/>
  <c r="K517" i="26"/>
  <c r="G517" i="26"/>
  <c r="L516" i="26"/>
  <c r="K516" i="26"/>
  <c r="G516" i="26"/>
  <c r="L515" i="26"/>
  <c r="K515" i="26"/>
  <c r="G515" i="26"/>
  <c r="L514" i="26"/>
  <c r="K514" i="26"/>
  <c r="G514" i="26"/>
  <c r="L513" i="26"/>
  <c r="K513" i="26"/>
  <c r="G513" i="26"/>
  <c r="L512" i="26"/>
  <c r="K512" i="26"/>
  <c r="G512" i="26"/>
  <c r="L511" i="26"/>
  <c r="K511" i="26"/>
  <c r="G511" i="26"/>
  <c r="L510" i="26"/>
  <c r="K510" i="26"/>
  <c r="G510" i="26"/>
  <c r="L509" i="26"/>
  <c r="K509" i="26"/>
  <c r="G509" i="26"/>
  <c r="L508" i="26"/>
  <c r="K508" i="26"/>
  <c r="G508" i="26"/>
  <c r="L507" i="26"/>
  <c r="K507" i="26"/>
  <c r="G507" i="26"/>
  <c r="L506" i="26"/>
  <c r="K506" i="26"/>
  <c r="G506" i="26"/>
  <c r="L505" i="26"/>
  <c r="K505" i="26"/>
  <c r="M505" i="26" s="1"/>
  <c r="O505" i="26" s="1"/>
  <c r="L504" i="26"/>
  <c r="K504" i="26"/>
  <c r="L503" i="26"/>
  <c r="M503" i="26" s="1"/>
  <c r="O503" i="26" s="1"/>
  <c r="K503" i="26"/>
  <c r="L502" i="26"/>
  <c r="M502" i="26" s="1"/>
  <c r="O502" i="26" s="1"/>
  <c r="K502" i="26"/>
  <c r="L501" i="26"/>
  <c r="K501" i="26"/>
  <c r="M501" i="26" s="1"/>
  <c r="O501" i="26" s="1"/>
  <c r="L500" i="26"/>
  <c r="M500" i="26" s="1"/>
  <c r="O500" i="26" s="1"/>
  <c r="K500" i="26"/>
  <c r="L499" i="26"/>
  <c r="M499" i="26" s="1"/>
  <c r="O499" i="26" s="1"/>
  <c r="K499" i="26"/>
  <c r="L498" i="26"/>
  <c r="K498" i="26"/>
  <c r="L497" i="26"/>
  <c r="K497" i="26"/>
  <c r="M497" i="26" s="1"/>
  <c r="O497" i="26" s="1"/>
  <c r="L496" i="26"/>
  <c r="K496" i="26"/>
  <c r="L495" i="26"/>
  <c r="M495" i="26" s="1"/>
  <c r="O495" i="26" s="1"/>
  <c r="K495" i="26"/>
  <c r="L494" i="26"/>
  <c r="K494" i="26"/>
  <c r="M494" i="26" s="1"/>
  <c r="O494" i="26" s="1"/>
  <c r="L493" i="26"/>
  <c r="K493" i="26"/>
  <c r="G493" i="26"/>
  <c r="L492" i="26"/>
  <c r="K492" i="26"/>
  <c r="G492" i="26"/>
  <c r="L491" i="26"/>
  <c r="K491" i="26"/>
  <c r="G491" i="26"/>
  <c r="L490" i="26"/>
  <c r="K490" i="26"/>
  <c r="G490" i="26"/>
  <c r="L489" i="26"/>
  <c r="K489" i="26"/>
  <c r="G489" i="26"/>
  <c r="L488" i="26"/>
  <c r="K488" i="26"/>
  <c r="G488" i="26"/>
  <c r="L487" i="26"/>
  <c r="K487" i="26"/>
  <c r="G487" i="26"/>
  <c r="L486" i="26"/>
  <c r="K486" i="26"/>
  <c r="G486" i="26"/>
  <c r="L485" i="26"/>
  <c r="K485" i="26"/>
  <c r="G485" i="26"/>
  <c r="L484" i="26"/>
  <c r="K484" i="26"/>
  <c r="G484" i="26"/>
  <c r="L483" i="26"/>
  <c r="K483" i="26"/>
  <c r="G483" i="26"/>
  <c r="L482" i="26"/>
  <c r="K482" i="26"/>
  <c r="G482" i="26"/>
  <c r="M481" i="26"/>
  <c r="O481" i="26" s="1"/>
  <c r="L481" i="26"/>
  <c r="K481" i="26"/>
  <c r="L480" i="26"/>
  <c r="K480" i="26"/>
  <c r="L479" i="26"/>
  <c r="K479" i="26"/>
  <c r="M479" i="26" s="1"/>
  <c r="O479" i="26" s="1"/>
  <c r="L478" i="26"/>
  <c r="K478" i="26"/>
  <c r="L477" i="26"/>
  <c r="K477" i="26"/>
  <c r="M477" i="26" s="1"/>
  <c r="O477" i="26" s="1"/>
  <c r="L476" i="26"/>
  <c r="K476" i="26"/>
  <c r="L475" i="26"/>
  <c r="M475" i="26" s="1"/>
  <c r="O475" i="26" s="1"/>
  <c r="K475" i="26"/>
  <c r="L474" i="26"/>
  <c r="M474" i="26" s="1"/>
  <c r="O474" i="26" s="1"/>
  <c r="K474" i="26"/>
  <c r="L473" i="26"/>
  <c r="M473" i="26" s="1"/>
  <c r="O473" i="26" s="1"/>
  <c r="K473" i="26"/>
  <c r="L472" i="26"/>
  <c r="K472" i="26"/>
  <c r="L471" i="26"/>
  <c r="K471" i="26"/>
  <c r="M471" i="26" s="1"/>
  <c r="O471" i="26" s="1"/>
  <c r="L470" i="26"/>
  <c r="K470" i="26"/>
  <c r="M470" i="26" s="1"/>
  <c r="O470" i="26" s="1"/>
  <c r="L469" i="26"/>
  <c r="K469" i="26"/>
  <c r="G469" i="26"/>
  <c r="L468" i="26"/>
  <c r="K468" i="26"/>
  <c r="G468" i="26"/>
  <c r="L467" i="26"/>
  <c r="K467" i="26"/>
  <c r="G467" i="26"/>
  <c r="L466" i="26"/>
  <c r="K466" i="26"/>
  <c r="G466" i="26"/>
  <c r="L465" i="26"/>
  <c r="K465" i="26"/>
  <c r="G465" i="26"/>
  <c r="L464" i="26"/>
  <c r="K464" i="26"/>
  <c r="G464" i="26"/>
  <c r="L463" i="26"/>
  <c r="K463" i="26"/>
  <c r="G463" i="26"/>
  <c r="L462" i="26"/>
  <c r="K462" i="26"/>
  <c r="G462" i="26"/>
  <c r="L461" i="26"/>
  <c r="K461" i="26"/>
  <c r="G461" i="26"/>
  <c r="L460" i="26"/>
  <c r="K460" i="26"/>
  <c r="G460" i="26"/>
  <c r="L459" i="26"/>
  <c r="K459" i="26"/>
  <c r="G459" i="26"/>
  <c r="L458" i="26"/>
  <c r="K458" i="26"/>
  <c r="G458" i="26"/>
  <c r="L457" i="26"/>
  <c r="K457" i="26"/>
  <c r="G457" i="26"/>
  <c r="M457" i="26" s="1"/>
  <c r="O457" i="26" s="1"/>
  <c r="L456" i="26"/>
  <c r="K456" i="26"/>
  <c r="G456" i="26"/>
  <c r="M456" i="26" s="1"/>
  <c r="O456" i="26" s="1"/>
  <c r="L455" i="26"/>
  <c r="K455" i="26"/>
  <c r="G455" i="26"/>
  <c r="L454" i="26"/>
  <c r="K454" i="26"/>
  <c r="G454" i="26"/>
  <c r="L453" i="26"/>
  <c r="M453" i="26" s="1"/>
  <c r="O453" i="26" s="1"/>
  <c r="K453" i="26"/>
  <c r="G453" i="26"/>
  <c r="L452" i="26"/>
  <c r="K452" i="26"/>
  <c r="G452" i="26"/>
  <c r="L451" i="26"/>
  <c r="K451" i="26"/>
  <c r="G451" i="26"/>
  <c r="L450" i="26"/>
  <c r="K450" i="26"/>
  <c r="G450" i="26"/>
  <c r="M449" i="26"/>
  <c r="O449" i="26" s="1"/>
  <c r="L449" i="26"/>
  <c r="K449" i="26"/>
  <c r="G449" i="26"/>
  <c r="M448" i="26"/>
  <c r="O448" i="26" s="1"/>
  <c r="L448" i="26"/>
  <c r="K448" i="26"/>
  <c r="G448" i="26"/>
  <c r="L447" i="26"/>
  <c r="K447" i="26"/>
  <c r="G447" i="26"/>
  <c r="L446" i="26"/>
  <c r="K446" i="26"/>
  <c r="G446" i="26"/>
  <c r="L445" i="26"/>
  <c r="K445" i="26"/>
  <c r="G445" i="26"/>
  <c r="L444" i="26"/>
  <c r="K444" i="26"/>
  <c r="G444" i="26"/>
  <c r="L443" i="26"/>
  <c r="M443" i="26" s="1"/>
  <c r="O443" i="26" s="1"/>
  <c r="K443" i="26"/>
  <c r="G443" i="26"/>
  <c r="L442" i="26"/>
  <c r="K442" i="26"/>
  <c r="G442" i="26"/>
  <c r="L441" i="26"/>
  <c r="K441" i="26"/>
  <c r="G441" i="26"/>
  <c r="L440" i="26"/>
  <c r="K440" i="26"/>
  <c r="G440" i="26"/>
  <c r="L439" i="26"/>
  <c r="M439" i="26" s="1"/>
  <c r="O439" i="26" s="1"/>
  <c r="K439" i="26"/>
  <c r="G439" i="26"/>
  <c r="L438" i="26"/>
  <c r="K438" i="26"/>
  <c r="G438" i="26"/>
  <c r="L437" i="26"/>
  <c r="K437" i="26"/>
  <c r="G437" i="26"/>
  <c r="L436" i="26"/>
  <c r="K436" i="26"/>
  <c r="G436" i="26"/>
  <c r="L435" i="26"/>
  <c r="M435" i="26" s="1"/>
  <c r="O435" i="26" s="1"/>
  <c r="K435" i="26"/>
  <c r="G435" i="26"/>
  <c r="L434" i="26"/>
  <c r="K434" i="26"/>
  <c r="G434" i="26"/>
  <c r="L433" i="26"/>
  <c r="M433" i="26" s="1"/>
  <c r="O433" i="26" s="1"/>
  <c r="K433" i="26"/>
  <c r="L432" i="26"/>
  <c r="K432" i="26"/>
  <c r="M431" i="26"/>
  <c r="O431" i="26" s="1"/>
  <c r="L431" i="26"/>
  <c r="K431" i="26"/>
  <c r="L430" i="26"/>
  <c r="K430" i="26"/>
  <c r="L429" i="26"/>
  <c r="K429" i="26"/>
  <c r="L428" i="26"/>
  <c r="K428" i="26"/>
  <c r="L427" i="26"/>
  <c r="K427" i="26"/>
  <c r="L426" i="26"/>
  <c r="K426" i="26"/>
  <c r="M425" i="26"/>
  <c r="O425" i="26" s="1"/>
  <c r="L425" i="26"/>
  <c r="K425" i="26"/>
  <c r="L424" i="26"/>
  <c r="M424" i="26" s="1"/>
  <c r="O424" i="26" s="1"/>
  <c r="K424" i="26"/>
  <c r="L423" i="26"/>
  <c r="M423" i="26" s="1"/>
  <c r="O423" i="26" s="1"/>
  <c r="K423" i="26"/>
  <c r="M422" i="26"/>
  <c r="O422" i="26" s="1"/>
  <c r="L422" i="26"/>
  <c r="K422" i="26"/>
  <c r="L421" i="26"/>
  <c r="M421" i="26" s="1"/>
  <c r="O421" i="26" s="1"/>
  <c r="K421" i="26"/>
  <c r="G421" i="26"/>
  <c r="L420" i="26"/>
  <c r="K420" i="26"/>
  <c r="G420" i="26"/>
  <c r="L419" i="26"/>
  <c r="K419" i="26"/>
  <c r="G419" i="26"/>
  <c r="L418" i="26"/>
  <c r="K418" i="26"/>
  <c r="G418" i="26"/>
  <c r="L417" i="26"/>
  <c r="M417" i="26" s="1"/>
  <c r="O417" i="26" s="1"/>
  <c r="K417" i="26"/>
  <c r="G417" i="26"/>
  <c r="L416" i="26"/>
  <c r="K416" i="26"/>
  <c r="G416" i="26"/>
  <c r="L415" i="26"/>
  <c r="K415" i="26"/>
  <c r="G415" i="26"/>
  <c r="L414" i="26"/>
  <c r="K414" i="26"/>
  <c r="G414" i="26"/>
  <c r="L413" i="26"/>
  <c r="K413" i="26"/>
  <c r="G413" i="26"/>
  <c r="L412" i="26"/>
  <c r="K412" i="26"/>
  <c r="G412" i="26"/>
  <c r="L411" i="26"/>
  <c r="K411" i="26"/>
  <c r="G411" i="26"/>
  <c r="L410" i="26"/>
  <c r="K410" i="26"/>
  <c r="G410" i="26"/>
  <c r="M409" i="26"/>
  <c r="O409" i="26" s="1"/>
  <c r="L409" i="26"/>
  <c r="K409" i="26"/>
  <c r="L408" i="26"/>
  <c r="K408" i="26"/>
  <c r="L407" i="26"/>
  <c r="K407" i="26"/>
  <c r="L406" i="26"/>
  <c r="K406" i="26"/>
  <c r="L405" i="26"/>
  <c r="K405" i="26"/>
  <c r="L404" i="26"/>
  <c r="K404" i="26"/>
  <c r="L403" i="26"/>
  <c r="K403" i="26"/>
  <c r="L402" i="26"/>
  <c r="K402" i="26"/>
  <c r="M401" i="26"/>
  <c r="O401" i="26" s="1"/>
  <c r="L401" i="26"/>
  <c r="K401" i="26"/>
  <c r="L400" i="26"/>
  <c r="M400" i="26" s="1"/>
  <c r="O400" i="26" s="1"/>
  <c r="K400" i="26"/>
  <c r="L399" i="26"/>
  <c r="K399" i="26"/>
  <c r="M399" i="26" s="1"/>
  <c r="O399" i="26" s="1"/>
  <c r="L398" i="26"/>
  <c r="K398" i="26"/>
  <c r="L397" i="26"/>
  <c r="K397" i="26"/>
  <c r="G397" i="26"/>
  <c r="L396" i="26"/>
  <c r="K396" i="26"/>
  <c r="G396" i="26"/>
  <c r="L395" i="26"/>
  <c r="M395" i="26" s="1"/>
  <c r="O395" i="26" s="1"/>
  <c r="K395" i="26"/>
  <c r="G395" i="26"/>
  <c r="L394" i="26"/>
  <c r="K394" i="26"/>
  <c r="G394" i="26"/>
  <c r="L393" i="26"/>
  <c r="K393" i="26"/>
  <c r="G393" i="26"/>
  <c r="L392" i="26"/>
  <c r="K392" i="26"/>
  <c r="G392" i="26"/>
  <c r="L391" i="26"/>
  <c r="M391" i="26" s="1"/>
  <c r="O391" i="26" s="1"/>
  <c r="K391" i="26"/>
  <c r="G391" i="26"/>
  <c r="L390" i="26"/>
  <c r="K390" i="26"/>
  <c r="G390" i="26"/>
  <c r="L389" i="26"/>
  <c r="K389" i="26"/>
  <c r="G389" i="26"/>
  <c r="L388" i="26"/>
  <c r="K388" i="26"/>
  <c r="G388" i="26"/>
  <c r="L387" i="26"/>
  <c r="M387" i="26" s="1"/>
  <c r="O387" i="26" s="1"/>
  <c r="K387" i="26"/>
  <c r="G387" i="26"/>
  <c r="L386" i="26"/>
  <c r="K386" i="26"/>
  <c r="G386" i="26"/>
  <c r="L385" i="26"/>
  <c r="K385" i="26"/>
  <c r="G385" i="26"/>
  <c r="L384" i="26"/>
  <c r="K384" i="26"/>
  <c r="G384" i="26"/>
  <c r="L383" i="26"/>
  <c r="K383" i="26"/>
  <c r="G383" i="26"/>
  <c r="M383" i="26" s="1"/>
  <c r="O383" i="26" s="1"/>
  <c r="L382" i="26"/>
  <c r="K382" i="26"/>
  <c r="G382" i="26"/>
  <c r="M382" i="26" s="1"/>
  <c r="O382" i="26" s="1"/>
  <c r="L381" i="26"/>
  <c r="K381" i="26"/>
  <c r="G381" i="26"/>
  <c r="L380" i="26"/>
  <c r="K380" i="26"/>
  <c r="G380" i="26"/>
  <c r="L379" i="26"/>
  <c r="K379" i="26"/>
  <c r="G379" i="26"/>
  <c r="L378" i="26"/>
  <c r="K378" i="26"/>
  <c r="G378" i="26"/>
  <c r="L377" i="26"/>
  <c r="K377" i="26"/>
  <c r="G377" i="26"/>
  <c r="L376" i="26"/>
  <c r="K376" i="26"/>
  <c r="G376" i="26"/>
  <c r="L375" i="26"/>
  <c r="K375" i="26"/>
  <c r="G375" i="26"/>
  <c r="M375" i="26" s="1"/>
  <c r="O375" i="26" s="1"/>
  <c r="L374" i="26"/>
  <c r="K374" i="26"/>
  <c r="G374" i="26"/>
  <c r="L373" i="26"/>
  <c r="M373" i="26" s="1"/>
  <c r="O373" i="26" s="1"/>
  <c r="K373" i="26"/>
  <c r="L372" i="26"/>
  <c r="M372" i="26" s="1"/>
  <c r="O372" i="26" s="1"/>
  <c r="K372" i="26"/>
  <c r="L371" i="26"/>
  <c r="M371" i="26" s="1"/>
  <c r="O371" i="26" s="1"/>
  <c r="K371" i="26"/>
  <c r="L370" i="26"/>
  <c r="M370" i="26" s="1"/>
  <c r="O370" i="26" s="1"/>
  <c r="K370" i="26"/>
  <c r="L369" i="26"/>
  <c r="K369" i="26"/>
  <c r="L368" i="26"/>
  <c r="K368" i="26"/>
  <c r="L367" i="26"/>
  <c r="K367" i="26"/>
  <c r="L366" i="26"/>
  <c r="K366" i="26"/>
  <c r="L365" i="26"/>
  <c r="K365" i="26"/>
  <c r="M364" i="26"/>
  <c r="O364" i="26" s="1"/>
  <c r="L364" i="26"/>
  <c r="K364" i="26"/>
  <c r="L363" i="26"/>
  <c r="K363" i="26"/>
  <c r="L362" i="26"/>
  <c r="M362" i="26" s="1"/>
  <c r="O362" i="26" s="1"/>
  <c r="K362" i="26"/>
  <c r="L361" i="26"/>
  <c r="K361" i="26"/>
  <c r="G361" i="26"/>
  <c r="L360" i="26"/>
  <c r="K360" i="26"/>
  <c r="G360" i="26"/>
  <c r="L359" i="26"/>
  <c r="K359" i="26"/>
  <c r="G359" i="26"/>
  <c r="L358" i="26"/>
  <c r="K358" i="26"/>
  <c r="G358" i="26"/>
  <c r="L357" i="26"/>
  <c r="K357" i="26"/>
  <c r="G357" i="26"/>
  <c r="M357" i="26" s="1"/>
  <c r="O357" i="26" s="1"/>
  <c r="L356" i="26"/>
  <c r="K356" i="26"/>
  <c r="G356" i="26"/>
  <c r="M356" i="26" s="1"/>
  <c r="O356" i="26" s="1"/>
  <c r="L355" i="26"/>
  <c r="K355" i="26"/>
  <c r="G355" i="26"/>
  <c r="L354" i="26"/>
  <c r="K354" i="26"/>
  <c r="G354" i="26"/>
  <c r="L353" i="26"/>
  <c r="K353" i="26"/>
  <c r="G353" i="26"/>
  <c r="L352" i="26"/>
  <c r="K352" i="26"/>
  <c r="G352" i="26"/>
  <c r="L351" i="26"/>
  <c r="K351" i="26"/>
  <c r="G351" i="26"/>
  <c r="L350" i="26"/>
  <c r="K350" i="26"/>
  <c r="G350" i="26"/>
  <c r="L349" i="26"/>
  <c r="M349" i="26" s="1"/>
  <c r="O349" i="26" s="1"/>
  <c r="K349" i="26"/>
  <c r="L348" i="26"/>
  <c r="K348" i="26"/>
  <c r="M348" i="26" s="1"/>
  <c r="O348" i="26" s="1"/>
  <c r="L347" i="26"/>
  <c r="M347" i="26" s="1"/>
  <c r="O347" i="26" s="1"/>
  <c r="K347" i="26"/>
  <c r="L346" i="26"/>
  <c r="K346" i="26"/>
  <c r="M346" i="26" s="1"/>
  <c r="O346" i="26" s="1"/>
  <c r="L345" i="26"/>
  <c r="M345" i="26" s="1"/>
  <c r="O345" i="26" s="1"/>
  <c r="K345" i="26"/>
  <c r="L344" i="26"/>
  <c r="K344" i="26"/>
  <c r="L343" i="26"/>
  <c r="M343" i="26" s="1"/>
  <c r="O343" i="26" s="1"/>
  <c r="K343" i="26"/>
  <c r="L342" i="26"/>
  <c r="M342" i="26" s="1"/>
  <c r="O342" i="26" s="1"/>
  <c r="K342" i="26"/>
  <c r="L341" i="26"/>
  <c r="K341" i="26"/>
  <c r="L340" i="26"/>
  <c r="K340" i="26"/>
  <c r="L339" i="26"/>
  <c r="K339" i="26"/>
  <c r="L338" i="26"/>
  <c r="M338" i="26" s="1"/>
  <c r="O338" i="26" s="1"/>
  <c r="K338" i="26"/>
  <c r="L337" i="26"/>
  <c r="K337" i="26"/>
  <c r="M337" i="26" s="1"/>
  <c r="O337" i="26" s="1"/>
  <c r="L336" i="26"/>
  <c r="M336" i="26" s="1"/>
  <c r="O336" i="26" s="1"/>
  <c r="K336" i="26"/>
  <c r="L335" i="26"/>
  <c r="M335" i="26" s="1"/>
  <c r="O335" i="26" s="1"/>
  <c r="K335" i="26"/>
  <c r="L334" i="26"/>
  <c r="M334" i="26" s="1"/>
  <c r="O334" i="26" s="1"/>
  <c r="K334" i="26"/>
  <c r="M333" i="26"/>
  <c r="O333" i="26" s="1"/>
  <c r="L333" i="26"/>
  <c r="K333" i="26"/>
  <c r="L332" i="26"/>
  <c r="K332" i="26"/>
  <c r="L331" i="26"/>
  <c r="K331" i="26"/>
  <c r="L330" i="26"/>
  <c r="K330" i="26"/>
  <c r="L329" i="26"/>
  <c r="K329" i="26"/>
  <c r="L328" i="26"/>
  <c r="K328" i="26"/>
  <c r="M327" i="26"/>
  <c r="O327" i="26" s="1"/>
  <c r="L327" i="26"/>
  <c r="K327" i="26"/>
  <c r="M326" i="26"/>
  <c r="O326" i="26" s="1"/>
  <c r="L326" i="26"/>
  <c r="K326" i="26"/>
  <c r="L325" i="26"/>
  <c r="K325" i="26"/>
  <c r="G325" i="26"/>
  <c r="L324" i="26"/>
  <c r="K324" i="26"/>
  <c r="G324" i="26"/>
  <c r="L323" i="26"/>
  <c r="M323" i="26" s="1"/>
  <c r="O323" i="26" s="1"/>
  <c r="K323" i="26"/>
  <c r="G323" i="26"/>
  <c r="L322" i="26"/>
  <c r="K322" i="26"/>
  <c r="G322" i="26"/>
  <c r="L321" i="26"/>
  <c r="K321" i="26"/>
  <c r="G321" i="26"/>
  <c r="L320" i="26"/>
  <c r="K320" i="26"/>
  <c r="G320" i="26"/>
  <c r="L319" i="26"/>
  <c r="M319" i="26" s="1"/>
  <c r="O319" i="26" s="1"/>
  <c r="K319" i="26"/>
  <c r="G319" i="26"/>
  <c r="L318" i="26"/>
  <c r="K318" i="26"/>
  <c r="G318" i="26"/>
  <c r="L317" i="26"/>
  <c r="K317" i="26"/>
  <c r="G317" i="26"/>
  <c r="L316" i="26"/>
  <c r="K316" i="26"/>
  <c r="G316" i="26"/>
  <c r="L315" i="26"/>
  <c r="M315" i="26" s="1"/>
  <c r="O315" i="26" s="1"/>
  <c r="K315" i="26"/>
  <c r="G315" i="26"/>
  <c r="L314" i="26"/>
  <c r="K314" i="26"/>
  <c r="G314" i="26"/>
  <c r="M314" i="26" s="1"/>
  <c r="O314" i="26" s="1"/>
  <c r="L313" i="26"/>
  <c r="K313" i="26"/>
  <c r="G313" i="26"/>
  <c r="L312" i="26"/>
  <c r="K312" i="26"/>
  <c r="G312" i="26"/>
  <c r="L311" i="26"/>
  <c r="K311" i="26"/>
  <c r="G311" i="26"/>
  <c r="L310" i="26"/>
  <c r="K310" i="26"/>
  <c r="G310" i="26"/>
  <c r="L309" i="26"/>
  <c r="K309" i="26"/>
  <c r="G309" i="26"/>
  <c r="L308" i="26"/>
  <c r="K308" i="26"/>
  <c r="G308" i="26"/>
  <c r="L307" i="26"/>
  <c r="K307" i="26"/>
  <c r="G307" i="26"/>
  <c r="M307" i="26" s="1"/>
  <c r="O307" i="26" s="1"/>
  <c r="L306" i="26"/>
  <c r="K306" i="26"/>
  <c r="G306" i="26"/>
  <c r="M306" i="26" s="1"/>
  <c r="O306" i="26" s="1"/>
  <c r="L305" i="26"/>
  <c r="K305" i="26"/>
  <c r="G305" i="26"/>
  <c r="L304" i="26"/>
  <c r="K304" i="26"/>
  <c r="G304" i="26"/>
  <c r="L303" i="26"/>
  <c r="K303" i="26"/>
  <c r="G303" i="26"/>
  <c r="L302" i="26"/>
  <c r="K302" i="26"/>
  <c r="G302" i="26"/>
  <c r="L301" i="26"/>
  <c r="K301" i="26"/>
  <c r="G301" i="26"/>
  <c r="L300" i="26"/>
  <c r="K300" i="26"/>
  <c r="G300" i="26"/>
  <c r="L299" i="26"/>
  <c r="K299" i="26"/>
  <c r="G299" i="26"/>
  <c r="L298" i="26"/>
  <c r="K298" i="26"/>
  <c r="G298" i="26"/>
  <c r="L297" i="26"/>
  <c r="K297" i="26"/>
  <c r="G297" i="26"/>
  <c r="L296" i="26"/>
  <c r="K296" i="26"/>
  <c r="G296" i="26"/>
  <c r="L295" i="26"/>
  <c r="K295" i="26"/>
  <c r="G295" i="26"/>
  <c r="L294" i="26"/>
  <c r="K294" i="26"/>
  <c r="G294" i="26"/>
  <c r="L293" i="26"/>
  <c r="K293" i="26"/>
  <c r="G293" i="26"/>
  <c r="L292" i="26"/>
  <c r="K292" i="26"/>
  <c r="G292" i="26"/>
  <c r="L291" i="26"/>
  <c r="K291" i="26"/>
  <c r="G291" i="26"/>
  <c r="L290" i="26"/>
  <c r="K290" i="26"/>
  <c r="G290" i="26"/>
  <c r="L289" i="26"/>
  <c r="K289" i="26"/>
  <c r="L288" i="26"/>
  <c r="K288" i="26"/>
  <c r="L287" i="26"/>
  <c r="K287" i="26"/>
  <c r="L286" i="26"/>
  <c r="K286" i="26"/>
  <c r="M285" i="26"/>
  <c r="O285" i="26" s="1"/>
  <c r="L285" i="26"/>
  <c r="K285" i="26"/>
  <c r="L284" i="26"/>
  <c r="K284" i="26"/>
  <c r="L283" i="26"/>
  <c r="M283" i="26" s="1"/>
  <c r="O283" i="26" s="1"/>
  <c r="K283" i="26"/>
  <c r="L282" i="26"/>
  <c r="M282" i="26" s="1"/>
  <c r="O282" i="26" s="1"/>
  <c r="K282" i="26"/>
  <c r="L281" i="26"/>
  <c r="K281" i="26"/>
  <c r="M281" i="26" s="1"/>
  <c r="O281" i="26" s="1"/>
  <c r="L280" i="26"/>
  <c r="M280" i="26" s="1"/>
  <c r="O280" i="26" s="1"/>
  <c r="K280" i="26"/>
  <c r="L279" i="26"/>
  <c r="K279" i="26"/>
  <c r="M279" i="26" s="1"/>
  <c r="O279" i="26" s="1"/>
  <c r="L278" i="26"/>
  <c r="K278" i="26"/>
  <c r="L277" i="26"/>
  <c r="K277" i="26"/>
  <c r="G277" i="26"/>
  <c r="L276" i="26"/>
  <c r="K276" i="26"/>
  <c r="G276" i="26"/>
  <c r="L275" i="26"/>
  <c r="K275" i="26"/>
  <c r="G275" i="26"/>
  <c r="L274" i="26"/>
  <c r="K274" i="26"/>
  <c r="G274" i="26"/>
  <c r="L273" i="26"/>
  <c r="K273" i="26"/>
  <c r="G273" i="26"/>
  <c r="L272" i="26"/>
  <c r="K272" i="26"/>
  <c r="G272" i="26"/>
  <c r="L271" i="26"/>
  <c r="K271" i="26"/>
  <c r="G271" i="26"/>
  <c r="L270" i="26"/>
  <c r="K270" i="26"/>
  <c r="G270" i="26"/>
  <c r="L269" i="26"/>
  <c r="K269" i="26"/>
  <c r="G269" i="26"/>
  <c r="L268" i="26"/>
  <c r="K268" i="26"/>
  <c r="G268" i="26"/>
  <c r="L267" i="26"/>
  <c r="K267" i="26"/>
  <c r="G267" i="26"/>
  <c r="L266" i="26"/>
  <c r="K266" i="26"/>
  <c r="G266" i="26"/>
  <c r="L265" i="26"/>
  <c r="K265" i="26"/>
  <c r="G265" i="26"/>
  <c r="L264" i="26"/>
  <c r="K264" i="26"/>
  <c r="G264" i="26"/>
  <c r="L263" i="26"/>
  <c r="K263" i="26"/>
  <c r="G263" i="26"/>
  <c r="L262" i="26"/>
  <c r="K262" i="26"/>
  <c r="G262" i="26"/>
  <c r="L261" i="26"/>
  <c r="K261" i="26"/>
  <c r="G261" i="26"/>
  <c r="L260" i="26"/>
  <c r="K260" i="26"/>
  <c r="G260" i="26"/>
  <c r="M260" i="26" s="1"/>
  <c r="O260" i="26" s="1"/>
  <c r="L259" i="26"/>
  <c r="K259" i="26"/>
  <c r="G259" i="26"/>
  <c r="L258" i="26"/>
  <c r="K258" i="26"/>
  <c r="G258" i="26"/>
  <c r="L257" i="26"/>
  <c r="K257" i="26"/>
  <c r="G257" i="26"/>
  <c r="L256" i="26"/>
  <c r="K256" i="26"/>
  <c r="G256" i="26"/>
  <c r="L255" i="26"/>
  <c r="K255" i="26"/>
  <c r="G255" i="26"/>
  <c r="L254" i="26"/>
  <c r="K254" i="26"/>
  <c r="G254" i="26"/>
  <c r="L253" i="26"/>
  <c r="K253" i="26"/>
  <c r="G253" i="26"/>
  <c r="L252" i="26"/>
  <c r="K252" i="26"/>
  <c r="G252" i="26"/>
  <c r="L251" i="26"/>
  <c r="K251" i="26"/>
  <c r="G251" i="26"/>
  <c r="L250" i="26"/>
  <c r="K250" i="26"/>
  <c r="G250" i="26"/>
  <c r="L249" i="26"/>
  <c r="K249" i="26"/>
  <c r="G249" i="26"/>
  <c r="L248" i="26"/>
  <c r="K248" i="26"/>
  <c r="G248" i="26"/>
  <c r="L247" i="26"/>
  <c r="K247" i="26"/>
  <c r="G247" i="26"/>
  <c r="L246" i="26"/>
  <c r="K246" i="26"/>
  <c r="G246" i="26"/>
  <c r="L245" i="26"/>
  <c r="K245" i="26"/>
  <c r="G245" i="26"/>
  <c r="L244" i="26"/>
  <c r="K244" i="26"/>
  <c r="G244" i="26"/>
  <c r="L243" i="26"/>
  <c r="K243" i="26"/>
  <c r="G243" i="26"/>
  <c r="L242" i="26"/>
  <c r="K242" i="26"/>
  <c r="G242" i="26"/>
  <c r="L241" i="26"/>
  <c r="K241" i="26"/>
  <c r="G241" i="26"/>
  <c r="M241" i="26" s="1"/>
  <c r="O241" i="26" s="1"/>
  <c r="L240" i="26"/>
  <c r="K240" i="26"/>
  <c r="G240" i="26"/>
  <c r="M240" i="26" s="1"/>
  <c r="O240" i="26" s="1"/>
  <c r="L239" i="26"/>
  <c r="K239" i="26"/>
  <c r="G239" i="26"/>
  <c r="L238" i="26"/>
  <c r="K238" i="26"/>
  <c r="G238" i="26"/>
  <c r="L237" i="26"/>
  <c r="K237" i="26"/>
  <c r="G237" i="26"/>
  <c r="L236" i="26"/>
  <c r="K236" i="26"/>
  <c r="G236" i="26"/>
  <c r="L235" i="26"/>
  <c r="K235" i="26"/>
  <c r="G235" i="26"/>
  <c r="L234" i="26"/>
  <c r="K234" i="26"/>
  <c r="G234" i="26"/>
  <c r="L233" i="26"/>
  <c r="K233" i="26"/>
  <c r="G233" i="26"/>
  <c r="M233" i="26" s="1"/>
  <c r="O233" i="26" s="1"/>
  <c r="L232" i="26"/>
  <c r="K232" i="26"/>
  <c r="G232" i="26"/>
  <c r="M232" i="26" s="1"/>
  <c r="O232" i="26" s="1"/>
  <c r="L231" i="26"/>
  <c r="K231" i="26"/>
  <c r="G231" i="26"/>
  <c r="L230" i="26"/>
  <c r="K230" i="26"/>
  <c r="G230" i="26"/>
  <c r="L229" i="26"/>
  <c r="K229" i="26"/>
  <c r="G229" i="26"/>
  <c r="L228" i="26"/>
  <c r="K228" i="26"/>
  <c r="G228" i="26"/>
  <c r="M228" i="26" s="1"/>
  <c r="O228" i="26" s="1"/>
  <c r="L227" i="26"/>
  <c r="K227" i="26"/>
  <c r="G227" i="26"/>
  <c r="M227" i="26" s="1"/>
  <c r="O227" i="26" s="1"/>
  <c r="L226" i="26"/>
  <c r="K226" i="26"/>
  <c r="G226" i="26"/>
  <c r="L225" i="26"/>
  <c r="M225" i="26" s="1"/>
  <c r="O225" i="26" s="1"/>
  <c r="K225" i="26"/>
  <c r="G225" i="26"/>
  <c r="L224" i="26"/>
  <c r="K224" i="26"/>
  <c r="G224" i="26"/>
  <c r="L223" i="26"/>
  <c r="K223" i="26"/>
  <c r="G223" i="26"/>
  <c r="L222" i="26"/>
  <c r="K222" i="26"/>
  <c r="G222" i="26"/>
  <c r="M222" i="26" s="1"/>
  <c r="O222" i="26" s="1"/>
  <c r="L221" i="26"/>
  <c r="K221" i="26"/>
  <c r="G221" i="26"/>
  <c r="L220" i="26"/>
  <c r="K220" i="26"/>
  <c r="G220" i="26"/>
  <c r="M219" i="26"/>
  <c r="O219" i="26" s="1"/>
  <c r="L219" i="26"/>
  <c r="K219" i="26"/>
  <c r="G219" i="26"/>
  <c r="L218" i="26"/>
  <c r="K218" i="26"/>
  <c r="G218" i="26"/>
  <c r="L217" i="26"/>
  <c r="K217" i="26"/>
  <c r="G217" i="26"/>
  <c r="L216" i="26"/>
  <c r="K216" i="26"/>
  <c r="G216" i="26"/>
  <c r="L215" i="26"/>
  <c r="K215" i="26"/>
  <c r="G215" i="26"/>
  <c r="L214" i="26"/>
  <c r="K214" i="26"/>
  <c r="G214" i="26"/>
  <c r="L213" i="26"/>
  <c r="K213" i="26"/>
  <c r="G213" i="26"/>
  <c r="L212" i="26"/>
  <c r="K212" i="26"/>
  <c r="G212" i="26"/>
  <c r="L211" i="26"/>
  <c r="K211" i="26"/>
  <c r="G211" i="26"/>
  <c r="L210" i="26"/>
  <c r="M210" i="26" s="1"/>
  <c r="O210" i="26" s="1"/>
  <c r="K210" i="26"/>
  <c r="G210" i="26"/>
  <c r="L209" i="26"/>
  <c r="K209" i="26"/>
  <c r="G209" i="26"/>
  <c r="L208" i="26"/>
  <c r="K208" i="26"/>
  <c r="G208" i="26"/>
  <c r="L207" i="26"/>
  <c r="K207" i="26"/>
  <c r="G207" i="26"/>
  <c r="M206" i="26"/>
  <c r="O206" i="26" s="1"/>
  <c r="L206" i="26"/>
  <c r="K206" i="26"/>
  <c r="G206" i="26"/>
  <c r="L205" i="26"/>
  <c r="K205" i="26"/>
  <c r="G205" i="26"/>
  <c r="L204" i="26"/>
  <c r="M204" i="26" s="1"/>
  <c r="O204" i="26" s="1"/>
  <c r="K204" i="26"/>
  <c r="G204" i="26"/>
  <c r="L203" i="26"/>
  <c r="K203" i="26"/>
  <c r="G203" i="26"/>
  <c r="L202" i="26"/>
  <c r="K202" i="26"/>
  <c r="G202" i="26"/>
  <c r="L201" i="26"/>
  <c r="K201" i="26"/>
  <c r="G201" i="26"/>
  <c r="M201" i="26" s="1"/>
  <c r="O201" i="26" s="1"/>
  <c r="L200" i="26"/>
  <c r="M200" i="26" s="1"/>
  <c r="O200" i="26" s="1"/>
  <c r="K200" i="26"/>
  <c r="G200" i="26"/>
  <c r="L199" i="26"/>
  <c r="K199" i="26"/>
  <c r="G199" i="26"/>
  <c r="L198" i="26"/>
  <c r="K198" i="26"/>
  <c r="G198" i="26"/>
  <c r="M198" i="26" s="1"/>
  <c r="O198" i="26" s="1"/>
  <c r="L197" i="26"/>
  <c r="K197" i="26"/>
  <c r="G197" i="26"/>
  <c r="M197" i="26" s="1"/>
  <c r="O197" i="26" s="1"/>
  <c r="L196" i="26"/>
  <c r="K196" i="26"/>
  <c r="G196" i="26"/>
  <c r="M196" i="26" s="1"/>
  <c r="O196" i="26" s="1"/>
  <c r="L195" i="26"/>
  <c r="K195" i="26"/>
  <c r="G195" i="26"/>
  <c r="L194" i="26"/>
  <c r="K194" i="26"/>
  <c r="G194" i="26"/>
  <c r="L193" i="26"/>
  <c r="K193" i="26"/>
  <c r="G193" i="26"/>
  <c r="L192" i="26"/>
  <c r="K192" i="26"/>
  <c r="G192" i="26"/>
  <c r="M192" i="26" s="1"/>
  <c r="O192" i="26" s="1"/>
  <c r="L191" i="26"/>
  <c r="K191" i="26"/>
  <c r="G191" i="26"/>
  <c r="L190" i="26"/>
  <c r="K190" i="26"/>
  <c r="G190" i="26"/>
  <c r="L189" i="26"/>
  <c r="K189" i="26"/>
  <c r="G189" i="26"/>
  <c r="L188" i="26"/>
  <c r="K188" i="26"/>
  <c r="G188" i="26"/>
  <c r="M188" i="26" s="1"/>
  <c r="O188" i="26" s="1"/>
  <c r="L187" i="26"/>
  <c r="K187" i="26"/>
  <c r="G187" i="26"/>
  <c r="L186" i="26"/>
  <c r="K186" i="26"/>
  <c r="G186" i="26"/>
  <c r="L185" i="26"/>
  <c r="K185" i="26"/>
  <c r="G185" i="26"/>
  <c r="L184" i="26"/>
  <c r="K184" i="26"/>
  <c r="G184" i="26"/>
  <c r="M184" i="26" s="1"/>
  <c r="O184" i="26" s="1"/>
  <c r="L183" i="26"/>
  <c r="K183" i="26"/>
  <c r="G183" i="26"/>
  <c r="L182" i="26"/>
  <c r="K182" i="26"/>
  <c r="G182" i="26"/>
  <c r="L181" i="26"/>
  <c r="M181" i="26" s="1"/>
  <c r="O181" i="26" s="1"/>
  <c r="K181" i="26"/>
  <c r="G181" i="26"/>
  <c r="L180" i="26"/>
  <c r="K180" i="26"/>
  <c r="G180" i="26"/>
  <c r="L179" i="26"/>
  <c r="K179" i="26"/>
  <c r="G179" i="26"/>
  <c r="L178" i="26"/>
  <c r="K178" i="26"/>
  <c r="G178" i="26"/>
  <c r="M178" i="26" s="1"/>
  <c r="O178" i="26" s="1"/>
  <c r="L177" i="26"/>
  <c r="K177" i="26"/>
  <c r="G177" i="26"/>
  <c r="M177" i="26" s="1"/>
  <c r="O177" i="26" s="1"/>
  <c r="L176" i="26"/>
  <c r="K176" i="26"/>
  <c r="G176" i="26"/>
  <c r="M175" i="26"/>
  <c r="O175" i="26" s="1"/>
  <c r="L175" i="26"/>
  <c r="K175" i="26"/>
  <c r="G175" i="26"/>
  <c r="L174" i="26"/>
  <c r="K174" i="26"/>
  <c r="G174" i="26"/>
  <c r="L173" i="26"/>
  <c r="K173" i="26"/>
  <c r="G173" i="26"/>
  <c r="L172" i="26"/>
  <c r="K172" i="26"/>
  <c r="G172" i="26"/>
  <c r="L171" i="26"/>
  <c r="K171" i="26"/>
  <c r="G171" i="26"/>
  <c r="L170" i="26"/>
  <c r="K170" i="26"/>
  <c r="G170" i="26"/>
  <c r="L169" i="26"/>
  <c r="K169" i="26"/>
  <c r="G169" i="26"/>
  <c r="M169" i="26" s="1"/>
  <c r="O169" i="26" s="1"/>
  <c r="L168" i="26"/>
  <c r="K168" i="26"/>
  <c r="G168" i="26"/>
  <c r="L167" i="26"/>
  <c r="K167" i="26"/>
  <c r="G167" i="26"/>
  <c r="L166" i="26"/>
  <c r="K166" i="26"/>
  <c r="G166" i="26"/>
  <c r="L165" i="26"/>
  <c r="K165" i="26"/>
  <c r="G165" i="26"/>
  <c r="M165" i="26" s="1"/>
  <c r="O165" i="26" s="1"/>
  <c r="L164" i="26"/>
  <c r="K164" i="26"/>
  <c r="G164" i="26"/>
  <c r="L163" i="26"/>
  <c r="K163" i="26"/>
  <c r="G163" i="26"/>
  <c r="L162" i="26"/>
  <c r="K162" i="26"/>
  <c r="G162" i="26"/>
  <c r="L161" i="26"/>
  <c r="K161" i="26"/>
  <c r="G161" i="26"/>
  <c r="M161" i="26" s="1"/>
  <c r="O161" i="26" s="1"/>
  <c r="L160" i="26"/>
  <c r="K160" i="26"/>
  <c r="G160" i="26"/>
  <c r="L159" i="26"/>
  <c r="K159" i="26"/>
  <c r="G159" i="26"/>
  <c r="L158" i="26"/>
  <c r="K158" i="26"/>
  <c r="G158" i="26"/>
  <c r="L157" i="26"/>
  <c r="K157" i="26"/>
  <c r="G157" i="26"/>
  <c r="L156" i="26"/>
  <c r="K156" i="26"/>
  <c r="G156" i="26"/>
  <c r="M156" i="26" s="1"/>
  <c r="O156" i="26" s="1"/>
  <c r="L155" i="26"/>
  <c r="K155" i="26"/>
  <c r="G155" i="26"/>
  <c r="M154" i="26"/>
  <c r="O154" i="26" s="1"/>
  <c r="L154" i="26"/>
  <c r="K154" i="26"/>
  <c r="G154" i="26"/>
  <c r="L153" i="26"/>
  <c r="K153" i="26"/>
  <c r="G153" i="26"/>
  <c r="L152" i="26"/>
  <c r="K152" i="26"/>
  <c r="G152" i="26"/>
  <c r="L151" i="26"/>
  <c r="K151" i="26"/>
  <c r="G151" i="26"/>
  <c r="L150" i="26"/>
  <c r="M150" i="26" s="1"/>
  <c r="O150" i="26" s="1"/>
  <c r="K150" i="26"/>
  <c r="G150" i="26"/>
  <c r="L149" i="26"/>
  <c r="K149" i="26"/>
  <c r="G149" i="26"/>
  <c r="L148" i="26"/>
  <c r="K148" i="26"/>
  <c r="G148" i="26"/>
  <c r="M148" i="26" s="1"/>
  <c r="O148" i="26" s="1"/>
  <c r="L147" i="26"/>
  <c r="K147" i="26"/>
  <c r="G147" i="26"/>
  <c r="L146" i="26"/>
  <c r="K146" i="26"/>
  <c r="G146" i="26"/>
  <c r="L145" i="26"/>
  <c r="K145" i="26"/>
  <c r="G145" i="26"/>
  <c r="L144" i="26"/>
  <c r="K144" i="26"/>
  <c r="G144" i="26"/>
  <c r="M144" i="26" s="1"/>
  <c r="O144" i="26" s="1"/>
  <c r="L143" i="26"/>
  <c r="K143" i="26"/>
  <c r="G143" i="26"/>
  <c r="L142" i="26"/>
  <c r="K142" i="26"/>
  <c r="G142" i="26"/>
  <c r="L141" i="26"/>
  <c r="K141" i="26"/>
  <c r="G141" i="26"/>
  <c r="L140" i="26"/>
  <c r="K140" i="26"/>
  <c r="G140" i="26"/>
  <c r="M140" i="26" s="1"/>
  <c r="O140" i="26" s="1"/>
  <c r="L139" i="26"/>
  <c r="K139" i="26"/>
  <c r="G139" i="26"/>
  <c r="L138" i="26"/>
  <c r="K138" i="26"/>
  <c r="G138" i="26"/>
  <c r="L137" i="26"/>
  <c r="K137" i="26"/>
  <c r="G137" i="26"/>
  <c r="L136" i="26"/>
  <c r="K136" i="26"/>
  <c r="G136" i="26"/>
  <c r="M136" i="26" s="1"/>
  <c r="O136" i="26" s="1"/>
  <c r="L135" i="26"/>
  <c r="K135" i="26"/>
  <c r="G135" i="26"/>
  <c r="L134" i="26"/>
  <c r="K134" i="26"/>
  <c r="G134" i="26"/>
  <c r="L133" i="26"/>
  <c r="M133" i="26" s="1"/>
  <c r="O133" i="26" s="1"/>
  <c r="K133" i="26"/>
  <c r="G133" i="26"/>
  <c r="L132" i="26"/>
  <c r="K132" i="26"/>
  <c r="G132" i="26"/>
  <c r="L131" i="26"/>
  <c r="K131" i="26"/>
  <c r="G131" i="26"/>
  <c r="L130" i="26"/>
  <c r="K130" i="26"/>
  <c r="G130" i="26"/>
  <c r="L129" i="26"/>
  <c r="K129" i="26"/>
  <c r="G129" i="26"/>
  <c r="M129" i="26" s="1"/>
  <c r="O129" i="26" s="1"/>
  <c r="L128" i="26"/>
  <c r="K128" i="26"/>
  <c r="G128" i="26"/>
  <c r="L127" i="26"/>
  <c r="K127" i="26"/>
  <c r="G127" i="26"/>
  <c r="M127" i="26" s="1"/>
  <c r="O127" i="26" s="1"/>
  <c r="L126" i="26"/>
  <c r="K126" i="26"/>
  <c r="G126" i="26"/>
  <c r="L125" i="26"/>
  <c r="M125" i="26" s="1"/>
  <c r="O125" i="26" s="1"/>
  <c r="K125" i="26"/>
  <c r="G125" i="26"/>
  <c r="L124" i="26"/>
  <c r="K124" i="26"/>
  <c r="G124" i="26"/>
  <c r="L123" i="26"/>
  <c r="K123" i="26"/>
  <c r="G123" i="26"/>
  <c r="L122" i="26"/>
  <c r="K122" i="26"/>
  <c r="G122" i="26"/>
  <c r="L121" i="26"/>
  <c r="K121" i="26"/>
  <c r="G121" i="26"/>
  <c r="M121" i="26" s="1"/>
  <c r="O121" i="26" s="1"/>
  <c r="L120" i="26"/>
  <c r="M120" i="26" s="1"/>
  <c r="O120" i="26" s="1"/>
  <c r="K120" i="26"/>
  <c r="G120" i="26"/>
  <c r="L119" i="26"/>
  <c r="K119" i="26"/>
  <c r="G119" i="26"/>
  <c r="L118" i="26"/>
  <c r="K118" i="26"/>
  <c r="G118" i="26"/>
  <c r="L117" i="26"/>
  <c r="K117" i="26"/>
  <c r="G117" i="26"/>
  <c r="M117" i="26" s="1"/>
  <c r="O117" i="26" s="1"/>
  <c r="L116" i="26"/>
  <c r="M116" i="26" s="1"/>
  <c r="O116" i="26" s="1"/>
  <c r="K116" i="26"/>
  <c r="G116" i="26"/>
  <c r="L115" i="26"/>
  <c r="K115" i="26"/>
  <c r="G115" i="26"/>
  <c r="L114" i="26"/>
  <c r="K114" i="26"/>
  <c r="G114" i="26"/>
  <c r="L113" i="26"/>
  <c r="K113" i="26"/>
  <c r="G113" i="26"/>
  <c r="M113" i="26" s="1"/>
  <c r="O113" i="26" s="1"/>
  <c r="L112" i="26"/>
  <c r="M112" i="26" s="1"/>
  <c r="O112" i="26" s="1"/>
  <c r="K112" i="26"/>
  <c r="G112" i="26"/>
  <c r="L111" i="26"/>
  <c r="K111" i="26"/>
  <c r="G111" i="26"/>
  <c r="L110" i="26"/>
  <c r="K110" i="26"/>
  <c r="G110" i="26"/>
  <c r="L109" i="26"/>
  <c r="K109" i="26"/>
  <c r="G109" i="26"/>
  <c r="M109" i="26" s="1"/>
  <c r="O109" i="26" s="1"/>
  <c r="L108" i="26"/>
  <c r="K108" i="26"/>
  <c r="G108" i="26"/>
  <c r="M108" i="26" s="1"/>
  <c r="O108" i="26" s="1"/>
  <c r="L107" i="26"/>
  <c r="K107" i="26"/>
  <c r="G107" i="26"/>
  <c r="L106" i="26"/>
  <c r="K106" i="26"/>
  <c r="G106" i="26"/>
  <c r="M106" i="26" s="1"/>
  <c r="O106" i="26" s="1"/>
  <c r="L105" i="26"/>
  <c r="K105" i="26"/>
  <c r="G105" i="26"/>
  <c r="L104" i="26"/>
  <c r="M104" i="26" s="1"/>
  <c r="O104" i="26" s="1"/>
  <c r="K104" i="26"/>
  <c r="G104" i="26"/>
  <c r="L103" i="26"/>
  <c r="K103" i="26"/>
  <c r="G103" i="26"/>
  <c r="L102" i="26"/>
  <c r="K102" i="26"/>
  <c r="G102" i="26"/>
  <c r="L101" i="26"/>
  <c r="K101" i="26"/>
  <c r="G101" i="26"/>
  <c r="L100" i="26"/>
  <c r="K100" i="26"/>
  <c r="G100" i="26"/>
  <c r="M100" i="26" s="1"/>
  <c r="O100" i="26" s="1"/>
  <c r="L99" i="26"/>
  <c r="K99" i="26"/>
  <c r="G99" i="26"/>
  <c r="L98" i="26"/>
  <c r="K98" i="26"/>
  <c r="G98" i="26"/>
  <c r="L97" i="26"/>
  <c r="K97" i="26"/>
  <c r="G97" i="26"/>
  <c r="L96" i="26"/>
  <c r="K96" i="26"/>
  <c r="G96" i="26"/>
  <c r="M96" i="26" s="1"/>
  <c r="O96" i="26" s="1"/>
  <c r="L95" i="26"/>
  <c r="K95" i="26"/>
  <c r="G95" i="26"/>
  <c r="L94" i="26"/>
  <c r="K94" i="26"/>
  <c r="G94" i="26"/>
  <c r="L93" i="26"/>
  <c r="K93" i="26"/>
  <c r="G93" i="26"/>
  <c r="L92" i="26"/>
  <c r="K92" i="26"/>
  <c r="G92" i="26"/>
  <c r="M92" i="26" s="1"/>
  <c r="O92" i="26" s="1"/>
  <c r="L91" i="26"/>
  <c r="K91" i="26"/>
  <c r="G91" i="26"/>
  <c r="L90" i="26"/>
  <c r="K90" i="26"/>
  <c r="G90" i="26"/>
  <c r="L89" i="26"/>
  <c r="K89" i="26"/>
  <c r="G89" i="26"/>
  <c r="L88" i="26"/>
  <c r="K88" i="26"/>
  <c r="G88" i="26"/>
  <c r="M88" i="26" s="1"/>
  <c r="O88" i="26" s="1"/>
  <c r="L87" i="26"/>
  <c r="K87" i="26"/>
  <c r="G87" i="26"/>
  <c r="L86" i="26"/>
  <c r="K86" i="26"/>
  <c r="G86" i="26"/>
  <c r="L85" i="26"/>
  <c r="M85" i="26" s="1"/>
  <c r="O85" i="26" s="1"/>
  <c r="K85" i="26"/>
  <c r="L84" i="26"/>
  <c r="M84" i="26" s="1"/>
  <c r="O84" i="26" s="1"/>
  <c r="K84" i="26"/>
  <c r="L83" i="26"/>
  <c r="K83" i="26"/>
  <c r="L82" i="26"/>
  <c r="K82" i="26"/>
  <c r="L81" i="26"/>
  <c r="K81" i="26"/>
  <c r="M81" i="26" s="1"/>
  <c r="O81" i="26" s="1"/>
  <c r="M80" i="26"/>
  <c r="O80" i="26" s="1"/>
  <c r="L80" i="26"/>
  <c r="K80" i="26"/>
  <c r="L79" i="26"/>
  <c r="K79" i="26"/>
  <c r="L78" i="26"/>
  <c r="M78" i="26" s="1"/>
  <c r="O78" i="26" s="1"/>
  <c r="K78" i="26"/>
  <c r="L77" i="26"/>
  <c r="M77" i="26" s="1"/>
  <c r="O77" i="26" s="1"/>
  <c r="K77" i="26"/>
  <c r="L76" i="26"/>
  <c r="M76" i="26" s="1"/>
  <c r="O76" i="26" s="1"/>
  <c r="K76" i="26"/>
  <c r="L75" i="26"/>
  <c r="K75" i="26"/>
  <c r="L74" i="26"/>
  <c r="M74" i="26" s="1"/>
  <c r="O74" i="26" s="1"/>
  <c r="K74" i="26"/>
  <c r="L73" i="26"/>
  <c r="M73" i="26" s="1"/>
  <c r="O73" i="26" s="1"/>
  <c r="K73" i="26"/>
  <c r="L72" i="26"/>
  <c r="K72" i="26"/>
  <c r="L71" i="26"/>
  <c r="K71" i="26"/>
  <c r="L70" i="26"/>
  <c r="K70" i="26"/>
  <c r="M70" i="26" s="1"/>
  <c r="O70" i="26" s="1"/>
  <c r="M69" i="26"/>
  <c r="O69" i="26" s="1"/>
  <c r="L69" i="26"/>
  <c r="K69" i="26"/>
  <c r="L68" i="26"/>
  <c r="K68" i="26"/>
  <c r="L67" i="26"/>
  <c r="M67" i="26" s="1"/>
  <c r="O67" i="26" s="1"/>
  <c r="K67" i="26"/>
  <c r="L66" i="26"/>
  <c r="M66" i="26" s="1"/>
  <c r="O66" i="26" s="1"/>
  <c r="K66" i="26"/>
  <c r="L65" i="26"/>
  <c r="M65" i="26" s="1"/>
  <c r="O65" i="26" s="1"/>
  <c r="K65" i="26"/>
  <c r="L64" i="26"/>
  <c r="K64" i="26"/>
  <c r="L63" i="26"/>
  <c r="K63" i="26"/>
  <c r="L62" i="26"/>
  <c r="K62" i="26"/>
  <c r="M62" i="26" s="1"/>
  <c r="O62" i="26" s="1"/>
  <c r="L61" i="26"/>
  <c r="M61" i="26" s="1"/>
  <c r="O61" i="26" s="1"/>
  <c r="K61" i="26"/>
  <c r="L60" i="26"/>
  <c r="K60" i="26"/>
  <c r="L59" i="26"/>
  <c r="M59" i="26" s="1"/>
  <c r="O59" i="26" s="1"/>
  <c r="K59" i="26"/>
  <c r="L58" i="26"/>
  <c r="M58" i="26" s="1"/>
  <c r="O58" i="26" s="1"/>
  <c r="K58" i="26"/>
  <c r="L57" i="26"/>
  <c r="M57" i="26" s="1"/>
  <c r="O57" i="26" s="1"/>
  <c r="K57" i="26"/>
  <c r="L56" i="26"/>
  <c r="K56" i="26"/>
  <c r="L55" i="26"/>
  <c r="M55" i="26" s="1"/>
  <c r="O55" i="26" s="1"/>
  <c r="K55" i="26"/>
  <c r="L54" i="26"/>
  <c r="M54" i="26" s="1"/>
  <c r="O54" i="26" s="1"/>
  <c r="K54" i="26"/>
  <c r="L53" i="26"/>
  <c r="K53" i="26"/>
  <c r="L52" i="26"/>
  <c r="K52" i="26"/>
  <c r="L51" i="26"/>
  <c r="K51" i="26"/>
  <c r="L50" i="26"/>
  <c r="M50" i="26" s="1"/>
  <c r="O50" i="26" s="1"/>
  <c r="K50" i="26"/>
  <c r="L49" i="26"/>
  <c r="K49" i="26"/>
  <c r="L48" i="26"/>
  <c r="M48" i="26" s="1"/>
  <c r="O48" i="26" s="1"/>
  <c r="K48" i="26"/>
  <c r="L47" i="26"/>
  <c r="M47" i="26" s="1"/>
  <c r="O47" i="26" s="1"/>
  <c r="K47" i="26"/>
  <c r="L46" i="26"/>
  <c r="M46" i="26" s="1"/>
  <c r="O46" i="26" s="1"/>
  <c r="K46" i="26"/>
  <c r="L45" i="26"/>
  <c r="K45" i="26"/>
  <c r="L44" i="26"/>
  <c r="M44" i="26" s="1"/>
  <c r="O44" i="26" s="1"/>
  <c r="K44" i="26"/>
  <c r="L43" i="26"/>
  <c r="M43" i="26" s="1"/>
  <c r="O43" i="26" s="1"/>
  <c r="K43" i="26"/>
  <c r="L42" i="26"/>
  <c r="K42" i="26"/>
  <c r="L41" i="26"/>
  <c r="K41" i="26"/>
  <c r="L40" i="26"/>
  <c r="K40" i="26"/>
  <c r="M39" i="26"/>
  <c r="O39" i="26" s="1"/>
  <c r="L39" i="26"/>
  <c r="K39" i="26"/>
  <c r="L38" i="26"/>
  <c r="K38" i="26"/>
  <c r="L37" i="26"/>
  <c r="K37" i="26"/>
  <c r="M37" i="26" s="1"/>
  <c r="O37" i="26" s="1"/>
  <c r="M36" i="26"/>
  <c r="O36" i="26" s="1"/>
  <c r="L36" i="26"/>
  <c r="K36" i="26"/>
  <c r="L35" i="26"/>
  <c r="K35" i="26"/>
  <c r="L34" i="26"/>
  <c r="M34" i="26" s="1"/>
  <c r="O34" i="26" s="1"/>
  <c r="K34" i="26"/>
  <c r="L33" i="26"/>
  <c r="M33" i="26" s="1"/>
  <c r="O33" i="26" s="1"/>
  <c r="K33" i="26"/>
  <c r="L32" i="26"/>
  <c r="M32" i="26" s="1"/>
  <c r="O32" i="26" s="1"/>
  <c r="K32" i="26"/>
  <c r="L31" i="26"/>
  <c r="K31" i="26"/>
  <c r="L30" i="26"/>
  <c r="K30" i="26"/>
  <c r="L29" i="26"/>
  <c r="K29" i="26"/>
  <c r="M29" i="26" s="1"/>
  <c r="O29" i="26" s="1"/>
  <c r="M28" i="26"/>
  <c r="O28" i="26" s="1"/>
  <c r="L28" i="26"/>
  <c r="K28" i="26"/>
  <c r="L27" i="26"/>
  <c r="K27" i="26"/>
  <c r="L26" i="26"/>
  <c r="K26" i="26"/>
  <c r="M26" i="26" s="1"/>
  <c r="O26" i="26" s="1"/>
  <c r="M25" i="26"/>
  <c r="O25" i="26" s="1"/>
  <c r="L25" i="26"/>
  <c r="K25" i="26"/>
  <c r="L24" i="26"/>
  <c r="K24" i="26"/>
  <c r="L23" i="26"/>
  <c r="M23" i="26" s="1"/>
  <c r="O23" i="26" s="1"/>
  <c r="K23" i="26"/>
  <c r="L22" i="26"/>
  <c r="M22" i="26" s="1"/>
  <c r="O22" i="26" s="1"/>
  <c r="K22" i="26"/>
  <c r="L21" i="26"/>
  <c r="M21" i="26" s="1"/>
  <c r="O21" i="26" s="1"/>
  <c r="K21" i="26"/>
  <c r="L20" i="26"/>
  <c r="K20" i="26"/>
  <c r="L19" i="26"/>
  <c r="K19" i="26"/>
  <c r="L18" i="26"/>
  <c r="K18" i="26"/>
  <c r="M18" i="26" s="1"/>
  <c r="O18" i="26" s="1"/>
  <c r="M17" i="26"/>
  <c r="O17" i="26" s="1"/>
  <c r="L17" i="26"/>
  <c r="K17" i="26"/>
  <c r="L16" i="26"/>
  <c r="K16" i="26"/>
  <c r="L15" i="26"/>
  <c r="M15" i="26" s="1"/>
  <c r="O15" i="26" s="1"/>
  <c r="K15" i="26"/>
  <c r="L14" i="26"/>
  <c r="M14" i="26" s="1"/>
  <c r="O14" i="26" s="1"/>
  <c r="K14" i="26"/>
  <c r="L13" i="26"/>
  <c r="K13" i="26"/>
  <c r="L12" i="26"/>
  <c r="K12" i="26"/>
  <c r="L11" i="26"/>
  <c r="K11" i="26"/>
  <c r="M10" i="26"/>
  <c r="O10" i="26" s="1"/>
  <c r="L10" i="26"/>
  <c r="K10" i="26"/>
  <c r="L9" i="26"/>
  <c r="K9" i="26"/>
  <c r="L8" i="26"/>
  <c r="K8" i="26"/>
  <c r="L7" i="26"/>
  <c r="K7" i="26"/>
  <c r="L6" i="26"/>
  <c r="K6" i="26"/>
  <c r="M6" i="26" s="1"/>
  <c r="O6" i="26" s="1"/>
  <c r="L5" i="26"/>
  <c r="M5" i="26" s="1"/>
  <c r="O5" i="26" s="1"/>
  <c r="K5" i="26"/>
  <c r="L4" i="26"/>
  <c r="K4" i="26"/>
  <c r="L3" i="26"/>
  <c r="M3" i="26" s="1"/>
  <c r="O3" i="26" s="1"/>
  <c r="K3" i="26"/>
  <c r="L2" i="26"/>
  <c r="K2" i="26"/>
  <c r="M158" i="26" l="1"/>
  <c r="O158" i="26" s="1"/>
  <c r="M174" i="26"/>
  <c r="O174" i="26" s="1"/>
  <c r="M179" i="26"/>
  <c r="O179" i="26" s="1"/>
  <c r="M187" i="26"/>
  <c r="O187" i="26" s="1"/>
  <c r="M191" i="26"/>
  <c r="O191" i="26" s="1"/>
  <c r="M202" i="26"/>
  <c r="O202" i="26" s="1"/>
  <c r="M351" i="26"/>
  <c r="O351" i="26" s="1"/>
  <c r="M352" i="26"/>
  <c r="O352" i="26" s="1"/>
  <c r="M359" i="26"/>
  <c r="O359" i="26" s="1"/>
  <c r="M360" i="26"/>
  <c r="O360" i="26" s="1"/>
  <c r="M1103" i="26"/>
  <c r="O1103" i="26" s="1"/>
  <c r="M1118" i="26"/>
  <c r="O1118" i="26" s="1"/>
  <c r="M1124" i="26"/>
  <c r="O1124" i="26" s="1"/>
  <c r="M1145" i="26"/>
  <c r="O1145" i="26" s="1"/>
  <c r="M1166" i="26"/>
  <c r="O1166" i="26" s="1"/>
  <c r="M1184" i="26"/>
  <c r="O1184" i="26" s="1"/>
  <c r="M1200" i="26"/>
  <c r="O1200" i="26" s="1"/>
  <c r="M1227" i="26"/>
  <c r="O1227" i="26" s="1"/>
  <c r="M1252" i="26"/>
  <c r="O1252" i="26" s="1"/>
  <c r="M1289" i="26"/>
  <c r="O1289" i="26" s="1"/>
  <c r="M1293" i="26"/>
  <c r="O1293" i="26" s="1"/>
  <c r="M1319" i="26"/>
  <c r="O1319" i="26" s="1"/>
  <c r="M1335" i="26"/>
  <c r="O1335" i="26" s="1"/>
  <c r="M1339" i="26"/>
  <c r="O1339" i="26" s="1"/>
  <c r="M1386" i="26"/>
  <c r="O1386" i="26" s="1"/>
  <c r="M1390" i="26"/>
  <c r="O1390" i="26" s="1"/>
  <c r="M1394" i="26"/>
  <c r="O1394" i="26" s="1"/>
  <c r="M1400" i="26"/>
  <c r="O1400" i="26" s="1"/>
  <c r="M1404" i="26"/>
  <c r="O1404" i="26" s="1"/>
  <c r="M1434" i="26"/>
  <c r="O1434" i="26" s="1"/>
  <c r="M1438" i="26"/>
  <c r="O1438" i="26" s="1"/>
  <c r="M1525" i="26"/>
  <c r="O1525" i="26" s="1"/>
  <c r="M102" i="26"/>
  <c r="O102" i="26" s="1"/>
  <c r="M123" i="26"/>
  <c r="O123" i="26" s="1"/>
  <c r="M152" i="26"/>
  <c r="O152" i="26" s="1"/>
  <c r="M173" i="26"/>
  <c r="O173" i="26" s="1"/>
  <c r="M255" i="26"/>
  <c r="O255" i="26" s="1"/>
  <c r="M258" i="26"/>
  <c r="O258" i="26" s="1"/>
  <c r="M259" i="26"/>
  <c r="O259" i="26" s="1"/>
  <c r="M264" i="26"/>
  <c r="O264" i="26" s="1"/>
  <c r="M304" i="26"/>
  <c r="O304" i="26" s="1"/>
  <c r="M388" i="26"/>
  <c r="O388" i="26" s="1"/>
  <c r="M392" i="26"/>
  <c r="O392" i="26" s="1"/>
  <c r="M396" i="26"/>
  <c r="O396" i="26" s="1"/>
  <c r="M414" i="26"/>
  <c r="O414" i="26" s="1"/>
  <c r="M418" i="26"/>
  <c r="O418" i="26" s="1"/>
  <c r="M454" i="26"/>
  <c r="O454" i="26" s="1"/>
  <c r="M580" i="26"/>
  <c r="O580" i="26" s="1"/>
  <c r="M622" i="26"/>
  <c r="O622" i="26" s="1"/>
  <c r="M643" i="26"/>
  <c r="O643" i="26" s="1"/>
  <c r="M774" i="26"/>
  <c r="O774" i="26" s="1"/>
  <c r="M820" i="26"/>
  <c r="O820" i="26" s="1"/>
  <c r="M821" i="26"/>
  <c r="O821" i="26" s="1"/>
  <c r="M828" i="26"/>
  <c r="O828" i="26" s="1"/>
  <c r="M829" i="26"/>
  <c r="O829" i="26" s="1"/>
  <c r="M878" i="26"/>
  <c r="O878" i="26" s="1"/>
  <c r="M894" i="26"/>
  <c r="O894" i="26" s="1"/>
  <c r="M898" i="26"/>
  <c r="O898" i="26" s="1"/>
  <c r="M902" i="26"/>
  <c r="O902" i="26" s="1"/>
  <c r="M924" i="26"/>
  <c r="O924" i="26" s="1"/>
  <c r="M930" i="26"/>
  <c r="O930" i="26" s="1"/>
  <c r="M934" i="26"/>
  <c r="O934" i="26" s="1"/>
  <c r="M968" i="26"/>
  <c r="O968" i="26" s="1"/>
  <c r="M969" i="26"/>
  <c r="O969" i="26" s="1"/>
  <c r="M977" i="26"/>
  <c r="O977" i="26" s="1"/>
  <c r="M981" i="26"/>
  <c r="O981" i="26" s="1"/>
  <c r="M985" i="26"/>
  <c r="O985" i="26" s="1"/>
  <c r="M1136" i="26"/>
  <c r="O1136" i="26" s="1"/>
  <c r="M105" i="26"/>
  <c r="O105" i="26" s="1"/>
  <c r="M110" i="26"/>
  <c r="O110" i="26" s="1"/>
  <c r="M131" i="26"/>
  <c r="O131" i="26" s="1"/>
  <c r="M160" i="26"/>
  <c r="O160" i="26" s="1"/>
  <c r="M164" i="26"/>
  <c r="O164" i="26" s="1"/>
  <c r="M168" i="26"/>
  <c r="O168" i="26" s="1"/>
  <c r="M214" i="26"/>
  <c r="O214" i="26" s="1"/>
  <c r="M218" i="26"/>
  <c r="O218" i="26" s="1"/>
  <c r="M223" i="26"/>
  <c r="O223" i="26" s="1"/>
  <c r="M436" i="26"/>
  <c r="O436" i="26" s="1"/>
  <c r="M440" i="26"/>
  <c r="O440" i="26" s="1"/>
  <c r="M444" i="26"/>
  <c r="O444" i="26" s="1"/>
  <c r="M489" i="26"/>
  <c r="O489" i="26" s="1"/>
  <c r="M493" i="26"/>
  <c r="O493" i="26" s="1"/>
  <c r="M513" i="26"/>
  <c r="O513" i="26" s="1"/>
  <c r="M550" i="26"/>
  <c r="O550" i="26" s="1"/>
  <c r="M571" i="26"/>
  <c r="O571" i="26" s="1"/>
  <c r="M630" i="26"/>
  <c r="O630" i="26" s="1"/>
  <c r="M634" i="26"/>
  <c r="O634" i="26" s="1"/>
  <c r="M638" i="26"/>
  <c r="O638" i="26" s="1"/>
  <c r="M668" i="26"/>
  <c r="O668" i="26" s="1"/>
  <c r="M715" i="26"/>
  <c r="O715" i="26" s="1"/>
  <c r="M751" i="26"/>
  <c r="O751" i="26" s="1"/>
  <c r="M752" i="26"/>
  <c r="O752" i="26" s="1"/>
  <c r="M832" i="26"/>
  <c r="O832" i="26" s="1"/>
  <c r="M836" i="26"/>
  <c r="O836" i="26" s="1"/>
  <c r="M840" i="26"/>
  <c r="O840" i="26" s="1"/>
  <c r="M845" i="26"/>
  <c r="O845" i="26" s="1"/>
  <c r="M849" i="26"/>
  <c r="O849" i="26" s="1"/>
  <c r="M952" i="26"/>
  <c r="O952" i="26" s="1"/>
  <c r="M956" i="26"/>
  <c r="O956" i="26" s="1"/>
  <c r="M960" i="26"/>
  <c r="O960" i="26" s="1"/>
  <c r="M1036" i="26"/>
  <c r="O1036" i="26" s="1"/>
  <c r="M1044" i="26"/>
  <c r="O1044" i="26" s="1"/>
  <c r="M1440" i="26"/>
  <c r="O1440" i="26" s="1"/>
  <c r="M1472" i="26"/>
  <c r="O1472" i="26" s="1"/>
  <c r="M1475" i="26"/>
  <c r="O1475" i="26" s="1"/>
  <c r="M1476" i="26"/>
  <c r="O1476" i="26" s="1"/>
  <c r="M1506" i="26"/>
  <c r="O1506" i="26" s="1"/>
  <c r="M1510" i="26"/>
  <c r="O1510" i="26" s="1"/>
  <c r="M1514" i="26"/>
  <c r="O1514" i="26" s="1"/>
  <c r="M1527" i="26"/>
  <c r="O1527" i="26" s="1"/>
  <c r="M1557" i="26"/>
  <c r="O1557" i="26" s="1"/>
  <c r="M1587" i="26"/>
  <c r="O1587" i="26" s="1"/>
  <c r="M1591" i="26"/>
  <c r="O1591" i="26" s="1"/>
  <c r="M1603" i="26"/>
  <c r="O1603" i="26" s="1"/>
  <c r="M1642" i="26"/>
  <c r="O1642" i="26" s="1"/>
  <c r="M1724" i="26"/>
  <c r="O1724" i="26" s="1"/>
  <c r="M171" i="26"/>
  <c r="O171" i="26" s="1"/>
  <c r="M237" i="26"/>
  <c r="O237" i="26" s="1"/>
  <c r="M265" i="26"/>
  <c r="O265" i="26" s="1"/>
  <c r="M312" i="26"/>
  <c r="O312" i="26" s="1"/>
  <c r="M318" i="26"/>
  <c r="O318" i="26" s="1"/>
  <c r="M322" i="26"/>
  <c r="O322" i="26" s="1"/>
  <c r="M353" i="26"/>
  <c r="O353" i="26" s="1"/>
  <c r="M377" i="26"/>
  <c r="O377" i="26" s="1"/>
  <c r="M378" i="26"/>
  <c r="O378" i="26" s="1"/>
  <c r="M385" i="26"/>
  <c r="O385" i="26" s="1"/>
  <c r="M386" i="26"/>
  <c r="O386" i="26" s="1"/>
  <c r="M676" i="26"/>
  <c r="O676" i="26" s="1"/>
  <c r="M680" i="26"/>
  <c r="O680" i="26" s="1"/>
  <c r="M684" i="26"/>
  <c r="O684" i="26" s="1"/>
  <c r="M701" i="26"/>
  <c r="O701" i="26" s="1"/>
  <c r="M705" i="26"/>
  <c r="O705" i="26" s="1"/>
  <c r="M709" i="26"/>
  <c r="O709" i="26" s="1"/>
  <c r="M713" i="26"/>
  <c r="O713" i="26" s="1"/>
  <c r="M747" i="26"/>
  <c r="O747" i="26" s="1"/>
  <c r="M781" i="26"/>
  <c r="O781" i="26" s="1"/>
  <c r="M795" i="26"/>
  <c r="O795" i="26" s="1"/>
  <c r="M803" i="26"/>
  <c r="O803" i="26" s="1"/>
  <c r="M831" i="26"/>
  <c r="O831" i="26" s="1"/>
  <c r="M835" i="26"/>
  <c r="O835" i="26" s="1"/>
  <c r="M839" i="26"/>
  <c r="O839" i="26" s="1"/>
  <c r="M847" i="26"/>
  <c r="O847" i="26" s="1"/>
  <c r="M848" i="26"/>
  <c r="O848" i="26" s="1"/>
  <c r="M851" i="26"/>
  <c r="O851" i="26" s="1"/>
  <c r="M916" i="26"/>
  <c r="O916" i="26" s="1"/>
  <c r="M923" i="26"/>
  <c r="O923" i="26" s="1"/>
  <c r="M959" i="26"/>
  <c r="O959" i="26" s="1"/>
  <c r="M1035" i="26"/>
  <c r="O1035" i="26" s="1"/>
  <c r="M1043" i="26"/>
  <c r="O1043" i="26" s="1"/>
  <c r="M1068" i="26"/>
  <c r="O1068" i="26" s="1"/>
  <c r="M1072" i="26"/>
  <c r="O1072" i="26" s="1"/>
  <c r="M1130" i="26"/>
  <c r="O1130" i="26" s="1"/>
  <c r="M1151" i="26"/>
  <c r="O1151" i="26" s="1"/>
  <c r="M1176" i="26"/>
  <c r="O1176" i="26" s="1"/>
  <c r="M1193" i="26"/>
  <c r="O1193" i="26" s="1"/>
  <c r="M1201" i="26"/>
  <c r="O1201" i="26" s="1"/>
  <c r="M1228" i="26"/>
  <c r="O1228" i="26" s="1"/>
  <c r="M1253" i="26"/>
  <c r="O1253" i="26" s="1"/>
  <c r="M1303" i="26"/>
  <c r="O1303" i="26" s="1"/>
  <c r="M1312" i="26"/>
  <c r="O1312" i="26" s="1"/>
  <c r="M1358" i="26"/>
  <c r="O1358" i="26" s="1"/>
  <c r="M1409" i="26"/>
  <c r="O1409" i="26" s="1"/>
  <c r="M1413" i="26"/>
  <c r="O1413" i="26" s="1"/>
  <c r="M1471" i="26"/>
  <c r="O1471" i="26" s="1"/>
  <c r="M1479" i="26"/>
  <c r="O1479" i="26" s="1"/>
  <c r="M1483" i="26"/>
  <c r="O1483" i="26" s="1"/>
  <c r="M1487" i="26"/>
  <c r="O1487" i="26" s="1"/>
  <c r="M1501" i="26"/>
  <c r="O1501" i="26" s="1"/>
  <c r="M1556" i="26"/>
  <c r="O1556" i="26" s="1"/>
  <c r="M1577" i="26"/>
  <c r="O1577" i="26" s="1"/>
  <c r="M1602" i="26"/>
  <c r="O1602" i="26" s="1"/>
  <c r="M1692" i="26"/>
  <c r="O1692" i="26" s="1"/>
  <c r="M7" i="26"/>
  <c r="O7" i="26" s="1"/>
  <c r="M19" i="26"/>
  <c r="O19" i="26" s="1"/>
  <c r="M38" i="26"/>
  <c r="O38" i="26" s="1"/>
  <c r="M63" i="26"/>
  <c r="O63" i="26" s="1"/>
  <c r="M82" i="26"/>
  <c r="O82" i="26" s="1"/>
  <c r="M137" i="26"/>
  <c r="O137" i="26" s="1"/>
  <c r="M141" i="26"/>
  <c r="O141" i="26" s="1"/>
  <c r="M145" i="26"/>
  <c r="O145" i="26" s="1"/>
  <c r="M172" i="26"/>
  <c r="O172" i="26" s="1"/>
  <c r="M230" i="26"/>
  <c r="O230" i="26" s="1"/>
  <c r="M236" i="26"/>
  <c r="O236" i="26" s="1"/>
  <c r="M257" i="26"/>
  <c r="O257" i="26" s="1"/>
  <c r="M2" i="26"/>
  <c r="O2" i="26" s="1"/>
  <c r="M11" i="26"/>
  <c r="O11" i="26" s="1"/>
  <c r="M13" i="26"/>
  <c r="O13" i="26" s="1"/>
  <c r="M40" i="26"/>
  <c r="O40" i="26" s="1"/>
  <c r="M42" i="26"/>
  <c r="O42" i="26" s="1"/>
  <c r="M51" i="26"/>
  <c r="O51" i="26" s="1"/>
  <c r="M53" i="26"/>
  <c r="O53" i="26" s="1"/>
  <c r="M72" i="26"/>
  <c r="O72" i="26" s="1"/>
  <c r="M86" i="26"/>
  <c r="O86" i="26" s="1"/>
  <c r="M90" i="26"/>
  <c r="O90" i="26" s="1"/>
  <c r="M94" i="26"/>
  <c r="O94" i="26" s="1"/>
  <c r="M98" i="26"/>
  <c r="O98" i="26" s="1"/>
  <c r="M101" i="26"/>
  <c r="O101" i="26" s="1"/>
  <c r="M114" i="26"/>
  <c r="O114" i="26" s="1"/>
  <c r="M118" i="26"/>
  <c r="O118" i="26" s="1"/>
  <c r="M122" i="26"/>
  <c r="O122" i="26" s="1"/>
  <c r="M138" i="26"/>
  <c r="O138" i="26" s="1"/>
  <c r="M142" i="26"/>
  <c r="O142" i="26" s="1"/>
  <c r="M146" i="26"/>
  <c r="O146" i="26" s="1"/>
  <c r="M162" i="26"/>
  <c r="O162" i="26" s="1"/>
  <c r="M166" i="26"/>
  <c r="O166" i="26" s="1"/>
  <c r="M170" i="26"/>
  <c r="O170" i="26" s="1"/>
  <c r="M182" i="26"/>
  <c r="O182" i="26" s="1"/>
  <c r="M186" i="26"/>
  <c r="O186" i="26" s="1"/>
  <c r="M190" i="26"/>
  <c r="O190" i="26" s="1"/>
  <c r="M194" i="26"/>
  <c r="O194" i="26" s="1"/>
  <c r="M207" i="26"/>
  <c r="O207" i="26" s="1"/>
  <c r="M211" i="26"/>
  <c r="O211" i="26" s="1"/>
  <c r="M215" i="26"/>
  <c r="O215" i="26" s="1"/>
  <c r="M226" i="26"/>
  <c r="O226" i="26" s="1"/>
  <c r="M229" i="26"/>
  <c r="O229" i="26" s="1"/>
  <c r="M238" i="26"/>
  <c r="O238" i="26" s="1"/>
  <c r="M263" i="26"/>
  <c r="O263" i="26" s="1"/>
  <c r="M266" i="26"/>
  <c r="O266" i="26" s="1"/>
  <c r="M284" i="26"/>
  <c r="O284" i="26" s="1"/>
  <c r="M313" i="26"/>
  <c r="O313" i="26" s="1"/>
  <c r="M344" i="26"/>
  <c r="O344" i="26" s="1"/>
  <c r="M354" i="26"/>
  <c r="O354" i="26" s="1"/>
  <c r="M361" i="26"/>
  <c r="O361" i="26" s="1"/>
  <c r="M379" i="26"/>
  <c r="O379" i="26" s="1"/>
  <c r="M434" i="26"/>
  <c r="O434" i="26" s="1"/>
  <c r="M452" i="26"/>
  <c r="O452" i="26" s="1"/>
  <c r="M455" i="26"/>
  <c r="O455" i="26" s="1"/>
  <c r="M9" i="26"/>
  <c r="O9" i="26" s="1"/>
  <c r="M30" i="26"/>
  <c r="O30" i="26" s="1"/>
  <c r="M71" i="26"/>
  <c r="O71" i="26" s="1"/>
  <c r="M89" i="26"/>
  <c r="O89" i="26" s="1"/>
  <c r="M93" i="26"/>
  <c r="O93" i="26" s="1"/>
  <c r="M97" i="26"/>
  <c r="O97" i="26" s="1"/>
  <c r="M235" i="26"/>
  <c r="O235" i="26" s="1"/>
  <c r="M87" i="26"/>
  <c r="O87" i="26" s="1"/>
  <c r="M91" i="26"/>
  <c r="O91" i="26" s="1"/>
  <c r="M95" i="26"/>
  <c r="O95" i="26" s="1"/>
  <c r="M99" i="26"/>
  <c r="O99" i="26" s="1"/>
  <c r="M107" i="26"/>
  <c r="O107" i="26" s="1"/>
  <c r="M111" i="26"/>
  <c r="O111" i="26" s="1"/>
  <c r="M115" i="26"/>
  <c r="O115" i="26" s="1"/>
  <c r="M119" i="26"/>
  <c r="O119" i="26" s="1"/>
  <c r="M135" i="26"/>
  <c r="O135" i="26" s="1"/>
  <c r="M139" i="26"/>
  <c r="O139" i="26" s="1"/>
  <c r="M143" i="26"/>
  <c r="O143" i="26" s="1"/>
  <c r="M159" i="26"/>
  <c r="O159" i="26" s="1"/>
  <c r="M163" i="26"/>
  <c r="O163" i="26" s="1"/>
  <c r="M167" i="26"/>
  <c r="O167" i="26" s="1"/>
  <c r="M176" i="26"/>
  <c r="O176" i="26" s="1"/>
  <c r="M180" i="26"/>
  <c r="O180" i="26" s="1"/>
  <c r="M183" i="26"/>
  <c r="O183" i="26" s="1"/>
  <c r="M199" i="26"/>
  <c r="O199" i="26" s="1"/>
  <c r="M205" i="26"/>
  <c r="O205" i="26" s="1"/>
  <c r="M208" i="26"/>
  <c r="O208" i="26" s="1"/>
  <c r="M212" i="26"/>
  <c r="O212" i="26" s="1"/>
  <c r="M216" i="26"/>
  <c r="O216" i="26" s="1"/>
  <c r="M221" i="26"/>
  <c r="O221" i="26" s="1"/>
  <c r="M231" i="26"/>
  <c r="O231" i="26" s="1"/>
  <c r="M256" i="26"/>
  <c r="O256" i="26" s="1"/>
  <c r="M303" i="26"/>
  <c r="O303" i="26" s="1"/>
  <c r="M311" i="26"/>
  <c r="O311" i="26" s="1"/>
  <c r="M398" i="26"/>
  <c r="O398" i="26" s="1"/>
  <c r="M506" i="26"/>
  <c r="O506" i="26" s="1"/>
  <c r="M305" i="26"/>
  <c r="O305" i="26" s="1"/>
  <c r="M310" i="26"/>
  <c r="O310" i="26" s="1"/>
  <c r="M366" i="26"/>
  <c r="O366" i="26" s="1"/>
  <c r="M368" i="26"/>
  <c r="O368" i="26" s="1"/>
  <c r="M380" i="26"/>
  <c r="O380" i="26" s="1"/>
  <c r="M447" i="26"/>
  <c r="O447" i="26" s="1"/>
  <c r="M103" i="26"/>
  <c r="O103" i="26" s="1"/>
  <c r="M185" i="26"/>
  <c r="O185" i="26" s="1"/>
  <c r="M189" i="26"/>
  <c r="O189" i="26" s="1"/>
  <c r="M193" i="26"/>
  <c r="O193" i="26" s="1"/>
  <c r="M195" i="26"/>
  <c r="O195" i="26" s="1"/>
  <c r="M203" i="26"/>
  <c r="O203" i="26" s="1"/>
  <c r="M209" i="26"/>
  <c r="O209" i="26" s="1"/>
  <c r="M213" i="26"/>
  <c r="O213" i="26" s="1"/>
  <c r="M217" i="26"/>
  <c r="O217" i="26" s="1"/>
  <c r="M224" i="26"/>
  <c r="O224" i="26" s="1"/>
  <c r="M234" i="26"/>
  <c r="O234" i="26" s="1"/>
  <c r="M242" i="26"/>
  <c r="O242" i="26" s="1"/>
  <c r="M262" i="26"/>
  <c r="O262" i="26" s="1"/>
  <c r="M286" i="26"/>
  <c r="O286" i="26" s="1"/>
  <c r="M288" i="26"/>
  <c r="O288" i="26" s="1"/>
  <c r="M290" i="26"/>
  <c r="O290" i="26" s="1"/>
  <c r="M309" i="26"/>
  <c r="O309" i="26" s="1"/>
  <c r="M317" i="26"/>
  <c r="O317" i="26" s="1"/>
  <c r="M321" i="26"/>
  <c r="O321" i="26" s="1"/>
  <c r="M325" i="26"/>
  <c r="O325" i="26" s="1"/>
  <c r="M328" i="26"/>
  <c r="O328" i="26" s="1"/>
  <c r="M330" i="26"/>
  <c r="O330" i="26" s="1"/>
  <c r="M332" i="26"/>
  <c r="O332" i="26" s="1"/>
  <c r="M339" i="26"/>
  <c r="O339" i="26" s="1"/>
  <c r="M341" i="26"/>
  <c r="O341" i="26" s="1"/>
  <c r="M358" i="26"/>
  <c r="O358" i="26" s="1"/>
  <c r="M363" i="26"/>
  <c r="O363" i="26" s="1"/>
  <c r="M376" i="26"/>
  <c r="O376" i="26" s="1"/>
  <c r="M384" i="26"/>
  <c r="O384" i="26" s="1"/>
  <c r="M390" i="26"/>
  <c r="O390" i="26" s="1"/>
  <c r="M394" i="26"/>
  <c r="O394" i="26" s="1"/>
  <c r="M402" i="26"/>
  <c r="O402" i="26" s="1"/>
  <c r="M404" i="26"/>
  <c r="O404" i="26" s="1"/>
  <c r="M406" i="26"/>
  <c r="O406" i="26" s="1"/>
  <c r="M408" i="26"/>
  <c r="O408" i="26" s="1"/>
  <c r="M412" i="26"/>
  <c r="O412" i="26" s="1"/>
  <c r="M416" i="26"/>
  <c r="O416" i="26" s="1"/>
  <c r="M420" i="26"/>
  <c r="O420" i="26" s="1"/>
  <c r="M426" i="26"/>
  <c r="O426" i="26" s="1"/>
  <c r="M428" i="26"/>
  <c r="O428" i="26" s="1"/>
  <c r="M430" i="26"/>
  <c r="O430" i="26" s="1"/>
  <c r="M438" i="26"/>
  <c r="O438" i="26" s="1"/>
  <c r="M442" i="26"/>
  <c r="O442" i="26" s="1"/>
  <c r="M446" i="26"/>
  <c r="O446" i="26" s="1"/>
  <c r="M451" i="26"/>
  <c r="O451" i="26" s="1"/>
  <c r="M482" i="26"/>
  <c r="O482" i="26" s="1"/>
  <c r="M491" i="26"/>
  <c r="O491" i="26" s="1"/>
  <c r="M507" i="26"/>
  <c r="O507" i="26" s="1"/>
  <c r="M515" i="26"/>
  <c r="O515" i="26" s="1"/>
  <c r="M530" i="26"/>
  <c r="O530" i="26" s="1"/>
  <c r="M531" i="26"/>
  <c r="O531" i="26" s="1"/>
  <c r="M535" i="26"/>
  <c r="O535" i="26" s="1"/>
  <c r="M539" i="26"/>
  <c r="O539" i="26" s="1"/>
  <c r="M543" i="26"/>
  <c r="O543" i="26" s="1"/>
  <c r="M547" i="26"/>
  <c r="O547" i="26" s="1"/>
  <c r="M555" i="26"/>
  <c r="O555" i="26" s="1"/>
  <c r="M563" i="26"/>
  <c r="O563" i="26" s="1"/>
  <c r="M576" i="26"/>
  <c r="O576" i="26" s="1"/>
  <c r="M587" i="26"/>
  <c r="O587" i="26" s="1"/>
  <c r="M596" i="26"/>
  <c r="O596" i="26" s="1"/>
  <c r="M604" i="26"/>
  <c r="O604" i="26" s="1"/>
  <c r="M608" i="26"/>
  <c r="O608" i="26" s="1"/>
  <c r="M612" i="26"/>
  <c r="O612" i="26" s="1"/>
  <c r="M628" i="26"/>
  <c r="O628" i="26" s="1"/>
  <c r="M632" i="26"/>
  <c r="O632" i="26" s="1"/>
  <c r="M636" i="26"/>
  <c r="O636" i="26" s="1"/>
  <c r="M642" i="26"/>
  <c r="O642" i="26" s="1"/>
  <c r="M651" i="26"/>
  <c r="O651" i="26" s="1"/>
  <c r="M654" i="26"/>
  <c r="O654" i="26" s="1"/>
  <c r="M661" i="26"/>
  <c r="O661" i="26" s="1"/>
  <c r="M677" i="26"/>
  <c r="O677" i="26" s="1"/>
  <c r="M681" i="26"/>
  <c r="O681" i="26" s="1"/>
  <c r="M685" i="26"/>
  <c r="O685" i="26" s="1"/>
  <c r="M688" i="26"/>
  <c r="O688" i="26" s="1"/>
  <c r="M699" i="26"/>
  <c r="O699" i="26" s="1"/>
  <c r="M703" i="26"/>
  <c r="O703" i="26" s="1"/>
  <c r="M707" i="26"/>
  <c r="O707" i="26" s="1"/>
  <c r="M711" i="26"/>
  <c r="O711" i="26" s="1"/>
  <c r="M719" i="26"/>
  <c r="O719" i="26" s="1"/>
  <c r="M723" i="26"/>
  <c r="O723" i="26" s="1"/>
  <c r="M727" i="26"/>
  <c r="O727" i="26" s="1"/>
  <c r="M731" i="26"/>
  <c r="O731" i="26" s="1"/>
  <c r="M738" i="26"/>
  <c r="O738" i="26" s="1"/>
  <c r="M745" i="26"/>
  <c r="O745" i="26" s="1"/>
  <c r="M754" i="26"/>
  <c r="O754" i="26" s="1"/>
  <c r="M759" i="26"/>
  <c r="O759" i="26" s="1"/>
  <c r="M761" i="26"/>
  <c r="O761" i="26" s="1"/>
  <c r="M777" i="26"/>
  <c r="O777" i="26" s="1"/>
  <c r="M791" i="26"/>
  <c r="O791" i="26" s="1"/>
  <c r="M800" i="26"/>
  <c r="O800" i="26" s="1"/>
  <c r="M808" i="26"/>
  <c r="O808" i="26" s="1"/>
  <c r="M812" i="26"/>
  <c r="O812" i="26" s="1"/>
  <c r="M816" i="26"/>
  <c r="O816" i="26" s="1"/>
  <c r="M819" i="26"/>
  <c r="O819" i="26" s="1"/>
  <c r="M827" i="26"/>
  <c r="O827" i="26" s="1"/>
  <c r="M834" i="26"/>
  <c r="O834" i="26" s="1"/>
  <c r="M838" i="26"/>
  <c r="O838" i="26" s="1"/>
  <c r="M842" i="26"/>
  <c r="O842" i="26" s="1"/>
  <c r="M846" i="26"/>
  <c r="O846" i="26" s="1"/>
  <c r="M853" i="26"/>
  <c r="O853" i="26" s="1"/>
  <c r="M897" i="26"/>
  <c r="O897" i="26" s="1"/>
  <c r="M921" i="26"/>
  <c r="O921" i="26" s="1"/>
  <c r="M922" i="26"/>
  <c r="O922" i="26" s="1"/>
  <c r="M925" i="26"/>
  <c r="O925" i="26" s="1"/>
  <c r="M950" i="26"/>
  <c r="O950" i="26" s="1"/>
  <c r="M971" i="26"/>
  <c r="O971" i="26" s="1"/>
  <c r="M1010" i="26"/>
  <c r="O1010" i="26" s="1"/>
  <c r="M1017" i="26"/>
  <c r="O1017" i="26" s="1"/>
  <c r="M1019" i="26"/>
  <c r="O1019" i="26" s="1"/>
  <c r="M1040" i="26"/>
  <c r="O1040" i="26" s="1"/>
  <c r="M1059" i="26"/>
  <c r="O1059" i="26" s="1"/>
  <c r="M1063" i="26"/>
  <c r="O1063" i="26" s="1"/>
  <c r="M1075" i="26"/>
  <c r="O1075" i="26" s="1"/>
  <c r="M1080" i="26"/>
  <c r="O1080" i="26" s="1"/>
  <c r="M1212" i="26"/>
  <c r="O1212" i="26" s="1"/>
  <c r="M1256" i="26"/>
  <c r="O1256" i="26" s="1"/>
  <c r="M239" i="26"/>
  <c r="O239" i="26" s="1"/>
  <c r="M261" i="26"/>
  <c r="O261" i="26" s="1"/>
  <c r="M278" i="26"/>
  <c r="O278" i="26" s="1"/>
  <c r="M287" i="26"/>
  <c r="O287" i="26" s="1"/>
  <c r="M289" i="26"/>
  <c r="O289" i="26" s="1"/>
  <c r="M308" i="26"/>
  <c r="O308" i="26" s="1"/>
  <c r="M316" i="26"/>
  <c r="O316" i="26" s="1"/>
  <c r="M320" i="26"/>
  <c r="O320" i="26" s="1"/>
  <c r="M324" i="26"/>
  <c r="O324" i="26" s="1"/>
  <c r="M329" i="26"/>
  <c r="O329" i="26" s="1"/>
  <c r="M331" i="26"/>
  <c r="O331" i="26" s="1"/>
  <c r="M340" i="26"/>
  <c r="O340" i="26" s="1"/>
  <c r="M350" i="26"/>
  <c r="O350" i="26" s="1"/>
  <c r="M355" i="26"/>
  <c r="O355" i="26" s="1"/>
  <c r="P350" i="26" s="1"/>
  <c r="C32" i="17" s="1"/>
  <c r="M365" i="26"/>
  <c r="O365" i="26" s="1"/>
  <c r="M367" i="26"/>
  <c r="O367" i="26" s="1"/>
  <c r="M369" i="26"/>
  <c r="O369" i="26" s="1"/>
  <c r="M381" i="26"/>
  <c r="O381" i="26" s="1"/>
  <c r="M389" i="26"/>
  <c r="O389" i="26" s="1"/>
  <c r="M393" i="26"/>
  <c r="O393" i="26" s="1"/>
  <c r="M397" i="26"/>
  <c r="O397" i="26" s="1"/>
  <c r="M403" i="26"/>
  <c r="O403" i="26" s="1"/>
  <c r="M405" i="26"/>
  <c r="O405" i="26" s="1"/>
  <c r="M407" i="26"/>
  <c r="O407" i="26" s="1"/>
  <c r="M410" i="26"/>
  <c r="O410" i="26" s="1"/>
  <c r="M411" i="26"/>
  <c r="O411" i="26" s="1"/>
  <c r="M415" i="26"/>
  <c r="O415" i="26" s="1"/>
  <c r="M419" i="26"/>
  <c r="O419" i="26" s="1"/>
  <c r="M427" i="26"/>
  <c r="O427" i="26" s="1"/>
  <c r="M429" i="26"/>
  <c r="O429" i="26" s="1"/>
  <c r="M432" i="26"/>
  <c r="O432" i="26" s="1"/>
  <c r="M437" i="26"/>
  <c r="O437" i="26" s="1"/>
  <c r="M441" i="26"/>
  <c r="O441" i="26" s="1"/>
  <c r="M445" i="26"/>
  <c r="O445" i="26" s="1"/>
  <c r="M450" i="26"/>
  <c r="O450" i="26" s="1"/>
  <c r="M458" i="26"/>
  <c r="O458" i="26" s="1"/>
  <c r="M472" i="26"/>
  <c r="O472" i="26" s="1"/>
  <c r="M490" i="26"/>
  <c r="O490" i="26" s="1"/>
  <c r="M496" i="26"/>
  <c r="O496" i="26" s="1"/>
  <c r="M498" i="26"/>
  <c r="O498" i="26" s="1"/>
  <c r="M510" i="26"/>
  <c r="O510" i="26" s="1"/>
  <c r="M514" i="26"/>
  <c r="O514" i="26" s="1"/>
  <c r="M520" i="26"/>
  <c r="O520" i="26" s="1"/>
  <c r="M538" i="26"/>
  <c r="O538" i="26" s="1"/>
  <c r="M567" i="26"/>
  <c r="O567" i="26" s="1"/>
  <c r="M583" i="26"/>
  <c r="O583" i="26" s="1"/>
  <c r="M600" i="26"/>
  <c r="O600" i="26" s="1"/>
  <c r="M605" i="26"/>
  <c r="O605" i="26" s="1"/>
  <c r="M609" i="26"/>
  <c r="O609" i="26" s="1"/>
  <c r="M613" i="26"/>
  <c r="O613" i="26" s="1"/>
  <c r="M629" i="26"/>
  <c r="O629" i="26" s="1"/>
  <c r="M633" i="26"/>
  <c r="O633" i="26" s="1"/>
  <c r="M637" i="26"/>
  <c r="O637" i="26" s="1"/>
  <c r="M640" i="26"/>
  <c r="O640" i="26" s="1"/>
  <c r="P638" i="26" s="1"/>
  <c r="C56" i="17" s="1"/>
  <c r="M648" i="26"/>
  <c r="O648" i="26" s="1"/>
  <c r="M655" i="26"/>
  <c r="O655" i="26" s="1"/>
  <c r="M662" i="26"/>
  <c r="O662" i="26" s="1"/>
  <c r="M678" i="26"/>
  <c r="O678" i="26" s="1"/>
  <c r="M682" i="26"/>
  <c r="O682" i="26" s="1"/>
  <c r="M692" i="26"/>
  <c r="O692" i="26" s="1"/>
  <c r="M698" i="26"/>
  <c r="O698" i="26" s="1"/>
  <c r="M700" i="26"/>
  <c r="O700" i="26" s="1"/>
  <c r="P698" i="26" s="1"/>
  <c r="C61" i="17" s="1"/>
  <c r="M704" i="26"/>
  <c r="O704" i="26" s="1"/>
  <c r="M708" i="26"/>
  <c r="O708" i="26" s="1"/>
  <c r="M717" i="26"/>
  <c r="O717" i="26" s="1"/>
  <c r="M724" i="26"/>
  <c r="O724" i="26" s="1"/>
  <c r="M728" i="26"/>
  <c r="O728" i="26" s="1"/>
  <c r="M732" i="26"/>
  <c r="O732" i="26" s="1"/>
  <c r="M755" i="26"/>
  <c r="O755" i="26" s="1"/>
  <c r="M778" i="26"/>
  <c r="O778" i="26" s="1"/>
  <c r="M784" i="26"/>
  <c r="O784" i="26" s="1"/>
  <c r="M797" i="26"/>
  <c r="O797" i="26" s="1"/>
  <c r="M805" i="26"/>
  <c r="O805" i="26" s="1"/>
  <c r="M807" i="26"/>
  <c r="O807" i="26" s="1"/>
  <c r="M811" i="26"/>
  <c r="O811" i="26" s="1"/>
  <c r="M815" i="26"/>
  <c r="O815" i="26" s="1"/>
  <c r="M824" i="26"/>
  <c r="O824" i="26" s="1"/>
  <c r="M833" i="26"/>
  <c r="O833" i="26" s="1"/>
  <c r="P830" i="26" s="1"/>
  <c r="C72" i="17" s="1"/>
  <c r="M837" i="26"/>
  <c r="O837" i="26" s="1"/>
  <c r="M841" i="26"/>
  <c r="O841" i="26" s="1"/>
  <c r="M852" i="26"/>
  <c r="O852" i="26" s="1"/>
  <c r="M915" i="26"/>
  <c r="O915" i="26" s="1"/>
  <c r="M989" i="26"/>
  <c r="O989" i="26" s="1"/>
  <c r="M1039" i="26"/>
  <c r="O1039" i="26" s="1"/>
  <c r="M1197" i="26"/>
  <c r="O1197" i="26" s="1"/>
  <c r="M1220" i="26"/>
  <c r="O1220" i="26" s="1"/>
  <c r="M659" i="26"/>
  <c r="O659" i="26" s="1"/>
  <c r="M675" i="26"/>
  <c r="O675" i="26" s="1"/>
  <c r="M679" i="26"/>
  <c r="O679" i="26" s="1"/>
  <c r="M683" i="26"/>
  <c r="O683" i="26" s="1"/>
  <c r="M696" i="26"/>
  <c r="O696" i="26" s="1"/>
  <c r="M725" i="26"/>
  <c r="O725" i="26" s="1"/>
  <c r="M729" i="26"/>
  <c r="O729" i="26" s="1"/>
  <c r="M733" i="26"/>
  <c r="O733" i="26" s="1"/>
  <c r="M736" i="26"/>
  <c r="O736" i="26" s="1"/>
  <c r="M756" i="26"/>
  <c r="O756" i="26" s="1"/>
  <c r="M766" i="26"/>
  <c r="O766" i="26" s="1"/>
  <c r="M796" i="26"/>
  <c r="O796" i="26" s="1"/>
  <c r="M804" i="26"/>
  <c r="O804" i="26" s="1"/>
  <c r="M823" i="26"/>
  <c r="O823" i="26" s="1"/>
  <c r="M843" i="26"/>
  <c r="O843" i="26" s="1"/>
  <c r="M854" i="26"/>
  <c r="O854" i="26" s="1"/>
  <c r="M868" i="26"/>
  <c r="O868" i="26" s="1"/>
  <c r="M896" i="26"/>
  <c r="O896" i="26" s="1"/>
  <c r="M917" i="26"/>
  <c r="O917" i="26" s="1"/>
  <c r="M929" i="26"/>
  <c r="O929" i="26" s="1"/>
  <c r="M933" i="26"/>
  <c r="O933" i="26" s="1"/>
  <c r="M937" i="26"/>
  <c r="O937" i="26" s="1"/>
  <c r="M940" i="26"/>
  <c r="O940" i="26" s="1"/>
  <c r="M942" i="26"/>
  <c r="O942" i="26" s="1"/>
  <c r="M944" i="26"/>
  <c r="O944" i="26" s="1"/>
  <c r="M963" i="26"/>
  <c r="O963" i="26" s="1"/>
  <c r="M970" i="26"/>
  <c r="O970" i="26" s="1"/>
  <c r="M988" i="26"/>
  <c r="O988" i="26" s="1"/>
  <c r="P986" i="26" s="1"/>
  <c r="C85" i="17" s="1"/>
  <c r="M991" i="26"/>
  <c r="O991" i="26" s="1"/>
  <c r="M996" i="26"/>
  <c r="O996" i="26" s="1"/>
  <c r="M1041" i="26"/>
  <c r="O1041" i="26" s="1"/>
  <c r="M1064" i="26"/>
  <c r="O1064" i="26" s="1"/>
  <c r="M1133" i="26"/>
  <c r="O1133" i="26" s="1"/>
  <c r="M476" i="26"/>
  <c r="O476" i="26" s="1"/>
  <c r="M478" i="26"/>
  <c r="O478" i="26" s="1"/>
  <c r="M480" i="26"/>
  <c r="O480" i="26" s="1"/>
  <c r="M492" i="26"/>
  <c r="O492" i="26" s="1"/>
  <c r="M504" i="26"/>
  <c r="O504" i="26" s="1"/>
  <c r="M508" i="26"/>
  <c r="O508" i="26" s="1"/>
  <c r="M512" i="26"/>
  <c r="O512" i="26" s="1"/>
  <c r="M516" i="26"/>
  <c r="O516" i="26" s="1"/>
  <c r="M526" i="26"/>
  <c r="O526" i="26" s="1"/>
  <c r="M528" i="26"/>
  <c r="O528" i="26" s="1"/>
  <c r="M532" i="26"/>
  <c r="O532" i="26" s="1"/>
  <c r="M540" i="26"/>
  <c r="O540" i="26" s="1"/>
  <c r="M562" i="26"/>
  <c r="O562" i="26" s="1"/>
  <c r="M575" i="26"/>
  <c r="O575" i="26" s="1"/>
  <c r="M586" i="26"/>
  <c r="O586" i="26" s="1"/>
  <c r="M603" i="26"/>
  <c r="O603" i="26" s="1"/>
  <c r="M607" i="26"/>
  <c r="O607" i="26" s="1"/>
  <c r="M611" i="26"/>
  <c r="O611" i="26" s="1"/>
  <c r="M954" i="26"/>
  <c r="O954" i="26" s="1"/>
  <c r="M958" i="26"/>
  <c r="O958" i="26" s="1"/>
  <c r="M962" i="26"/>
  <c r="O962" i="26" s="1"/>
  <c r="M967" i="26"/>
  <c r="O967" i="26" s="1"/>
  <c r="M976" i="26"/>
  <c r="O976" i="26" s="1"/>
  <c r="M980" i="26"/>
  <c r="O980" i="26" s="1"/>
  <c r="M984" i="26"/>
  <c r="O984" i="26" s="1"/>
  <c r="M987" i="26"/>
  <c r="O987" i="26" s="1"/>
  <c r="M995" i="26"/>
  <c r="O995" i="26" s="1"/>
  <c r="M1011" i="26"/>
  <c r="O1011" i="26" s="1"/>
  <c r="M1014" i="26"/>
  <c r="O1014" i="26" s="1"/>
  <c r="M1038" i="26"/>
  <c r="O1038" i="26" s="1"/>
  <c r="M1046" i="26"/>
  <c r="O1046" i="26" s="1"/>
  <c r="M1051" i="26"/>
  <c r="O1051" i="26" s="1"/>
  <c r="M1053" i="26"/>
  <c r="O1053" i="26" s="1"/>
  <c r="M1058" i="26"/>
  <c r="O1058" i="26" s="1"/>
  <c r="M1060" i="26"/>
  <c r="O1060" i="26" s="1"/>
  <c r="M1088" i="26"/>
  <c r="O1088" i="26" s="1"/>
  <c r="M1092" i="26"/>
  <c r="O1092" i="26" s="1"/>
  <c r="M1101" i="26"/>
  <c r="O1101" i="26" s="1"/>
  <c r="M1110" i="26"/>
  <c r="O1110" i="26" s="1"/>
  <c r="M1113" i="26"/>
  <c r="O1113" i="26" s="1"/>
  <c r="M1129" i="26"/>
  <c r="O1129" i="26" s="1"/>
  <c r="M1131" i="26"/>
  <c r="O1131" i="26" s="1"/>
  <c r="M1134" i="26"/>
  <c r="O1134" i="26" s="1"/>
  <c r="M1137" i="26"/>
  <c r="O1137" i="26" s="1"/>
  <c r="M1140" i="26"/>
  <c r="O1140" i="26" s="1"/>
  <c r="M1150" i="26"/>
  <c r="O1150" i="26" s="1"/>
  <c r="M1155" i="26"/>
  <c r="O1155" i="26" s="1"/>
  <c r="M1162" i="26"/>
  <c r="O1162" i="26" s="1"/>
  <c r="M1165" i="26"/>
  <c r="O1165" i="26" s="1"/>
  <c r="M1172" i="26"/>
  <c r="O1172" i="26" s="1"/>
  <c r="M1188" i="26"/>
  <c r="O1188" i="26" s="1"/>
  <c r="M1202" i="26"/>
  <c r="O1202" i="26" s="1"/>
  <c r="M1214" i="26"/>
  <c r="O1214" i="26" s="1"/>
  <c r="M1216" i="26"/>
  <c r="O1216" i="26" s="1"/>
  <c r="M1226" i="26"/>
  <c r="O1226" i="26" s="1"/>
  <c r="M1229" i="26"/>
  <c r="O1229" i="26" s="1"/>
  <c r="M1236" i="26"/>
  <c r="O1236" i="26" s="1"/>
  <c r="M1245" i="26"/>
  <c r="O1245" i="26" s="1"/>
  <c r="M1247" i="26"/>
  <c r="O1247" i="26" s="1"/>
  <c r="M1251" i="26"/>
  <c r="O1251" i="26" s="1"/>
  <c r="M1254" i="26"/>
  <c r="O1254" i="26" s="1"/>
  <c r="M1257" i="26"/>
  <c r="O1257" i="26" s="1"/>
  <c r="M1267" i="26"/>
  <c r="O1267" i="26" s="1"/>
  <c r="M1287" i="26"/>
  <c r="O1287" i="26" s="1"/>
  <c r="M1298" i="26"/>
  <c r="O1298" i="26" s="1"/>
  <c r="M1300" i="26"/>
  <c r="O1300" i="26" s="1"/>
  <c r="M1311" i="26"/>
  <c r="O1311" i="26" s="1"/>
  <c r="M1341" i="26"/>
  <c r="O1341" i="26" s="1"/>
  <c r="M1365" i="26"/>
  <c r="O1365" i="26" s="1"/>
  <c r="M1376" i="26"/>
  <c r="O1376" i="26" s="1"/>
  <c r="M1380" i="26"/>
  <c r="O1380" i="26" s="1"/>
  <c r="M1388" i="26"/>
  <c r="O1388" i="26" s="1"/>
  <c r="M1396" i="26"/>
  <c r="O1396" i="26" s="1"/>
  <c r="M1414" i="26"/>
  <c r="O1414" i="26" s="1"/>
  <c r="M1421" i="26"/>
  <c r="O1421" i="26" s="1"/>
  <c r="M1425" i="26"/>
  <c r="O1425" i="26" s="1"/>
  <c r="M1433" i="26"/>
  <c r="O1433" i="26" s="1"/>
  <c r="M1462" i="26"/>
  <c r="O1462" i="26" s="1"/>
  <c r="M1467" i="26"/>
  <c r="O1467" i="26" s="1"/>
  <c r="M1473" i="26"/>
  <c r="O1473" i="26" s="1"/>
  <c r="M1481" i="26"/>
  <c r="O1481" i="26" s="1"/>
  <c r="M1485" i="26"/>
  <c r="O1485" i="26" s="1"/>
  <c r="M1489" i="26"/>
  <c r="O1489" i="26" s="1"/>
  <c r="M1493" i="26"/>
  <c r="O1493" i="26" s="1"/>
  <c r="M1504" i="26"/>
  <c r="O1504" i="26" s="1"/>
  <c r="M1508" i="26"/>
  <c r="O1508" i="26" s="1"/>
  <c r="M1512" i="26"/>
  <c r="O1512" i="26" s="1"/>
  <c r="M1521" i="26"/>
  <c r="O1521" i="26" s="1"/>
  <c r="M1536" i="26"/>
  <c r="O1536" i="26" s="1"/>
  <c r="M1549" i="26"/>
  <c r="O1549" i="26" s="1"/>
  <c r="M1561" i="26"/>
  <c r="O1561" i="26" s="1"/>
  <c r="M1563" i="26"/>
  <c r="O1563" i="26" s="1"/>
  <c r="M1589" i="26"/>
  <c r="O1589" i="26" s="1"/>
  <c r="M1593" i="26"/>
  <c r="O1593" i="26" s="1"/>
  <c r="M1601" i="26"/>
  <c r="O1601" i="26" s="1"/>
  <c r="M1616" i="26"/>
  <c r="O1616" i="26" s="1"/>
  <c r="M1620" i="26"/>
  <c r="O1620" i="26" s="1"/>
  <c r="M1685" i="26"/>
  <c r="O1685" i="26" s="1"/>
  <c r="M1728" i="26"/>
  <c r="O1728" i="26" s="1"/>
  <c r="M1737" i="26"/>
  <c r="O1737" i="26" s="1"/>
  <c r="M1745" i="26"/>
  <c r="O1745" i="26" s="1"/>
  <c r="M850" i="26"/>
  <c r="O850" i="26" s="1"/>
  <c r="M872" i="26"/>
  <c r="O872" i="26" s="1"/>
  <c r="M874" i="26"/>
  <c r="O874" i="26" s="1"/>
  <c r="M876" i="26"/>
  <c r="O876" i="26" s="1"/>
  <c r="M893" i="26"/>
  <c r="O893" i="26" s="1"/>
  <c r="M901" i="26"/>
  <c r="O901" i="26" s="1"/>
  <c r="M920" i="26"/>
  <c r="O920" i="26" s="1"/>
  <c r="M928" i="26"/>
  <c r="O928" i="26" s="1"/>
  <c r="M932" i="26"/>
  <c r="O932" i="26" s="1"/>
  <c r="M936" i="26"/>
  <c r="O936" i="26" s="1"/>
  <c r="M941" i="26"/>
  <c r="O941" i="26" s="1"/>
  <c r="M943" i="26"/>
  <c r="O943" i="26" s="1"/>
  <c r="M953" i="26"/>
  <c r="O953" i="26" s="1"/>
  <c r="M957" i="26"/>
  <c r="O957" i="26" s="1"/>
  <c r="M961" i="26"/>
  <c r="O961" i="26" s="1"/>
  <c r="M964" i="26"/>
  <c r="O964" i="26" s="1"/>
  <c r="M972" i="26"/>
  <c r="O972" i="26" s="1"/>
  <c r="M975" i="26"/>
  <c r="O975" i="26" s="1"/>
  <c r="P974" i="26" s="1"/>
  <c r="C84" i="17" s="1"/>
  <c r="M979" i="26"/>
  <c r="O979" i="26" s="1"/>
  <c r="M983" i="26"/>
  <c r="O983" i="26" s="1"/>
  <c r="M994" i="26"/>
  <c r="O994" i="26" s="1"/>
  <c r="M1020" i="26"/>
  <c r="O1020" i="26" s="1"/>
  <c r="M1037" i="26"/>
  <c r="O1037" i="26" s="1"/>
  <c r="M1045" i="26"/>
  <c r="O1045" i="26" s="1"/>
  <c r="M1052" i="26"/>
  <c r="O1052" i="26" s="1"/>
  <c r="M1056" i="26"/>
  <c r="O1056" i="26" s="1"/>
  <c r="M1061" i="26"/>
  <c r="O1061" i="26" s="1"/>
  <c r="M1065" i="26"/>
  <c r="O1065" i="26" s="1"/>
  <c r="M1089" i="26"/>
  <c r="O1089" i="26" s="1"/>
  <c r="M1091" i="26"/>
  <c r="O1091" i="26" s="1"/>
  <c r="M1122" i="26"/>
  <c r="O1122" i="26" s="1"/>
  <c r="M1128" i="26"/>
  <c r="O1128" i="26" s="1"/>
  <c r="M1132" i="26"/>
  <c r="O1132" i="26" s="1"/>
  <c r="M1141" i="26"/>
  <c r="O1141" i="26" s="1"/>
  <c r="M1143" i="26"/>
  <c r="O1143" i="26" s="1"/>
  <c r="M1149" i="26"/>
  <c r="O1149" i="26" s="1"/>
  <c r="M1156" i="26"/>
  <c r="O1156" i="26" s="1"/>
  <c r="M1163" i="26"/>
  <c r="O1163" i="26" s="1"/>
  <c r="M1171" i="26"/>
  <c r="O1171" i="26" s="1"/>
  <c r="M1183" i="26"/>
  <c r="O1183" i="26" s="1"/>
  <c r="M1186" i="26"/>
  <c r="O1186" i="26" s="1"/>
  <c r="M1189" i="26"/>
  <c r="O1189" i="26" s="1"/>
  <c r="M1191" i="26"/>
  <c r="O1191" i="26" s="1"/>
  <c r="M1233" i="26"/>
  <c r="O1233" i="26" s="1"/>
  <c r="M1250" i="26"/>
  <c r="O1250" i="26" s="1"/>
  <c r="M1258" i="26"/>
  <c r="O1258" i="26" s="1"/>
  <c r="M1266" i="26"/>
  <c r="O1266" i="26" s="1"/>
  <c r="M1286" i="26"/>
  <c r="O1286" i="26" s="1"/>
  <c r="M1297" i="26"/>
  <c r="O1297" i="26" s="1"/>
  <c r="M1301" i="26"/>
  <c r="O1301" i="26" s="1"/>
  <c r="M1308" i="26"/>
  <c r="O1308" i="26" s="1"/>
  <c r="M1320" i="26"/>
  <c r="O1320" i="26" s="1"/>
  <c r="M1334" i="26"/>
  <c r="O1334" i="26" s="1"/>
  <c r="M1340" i="26"/>
  <c r="O1340" i="26" s="1"/>
  <c r="M1349" i="26"/>
  <c r="O1349" i="26" s="1"/>
  <c r="M1356" i="26"/>
  <c r="O1356" i="26" s="1"/>
  <c r="M1373" i="26"/>
  <c r="O1373" i="26" s="1"/>
  <c r="M1379" i="26"/>
  <c r="O1379" i="26" s="1"/>
  <c r="M1402" i="26"/>
  <c r="O1402" i="26" s="1"/>
  <c r="M1405" i="26"/>
  <c r="O1405" i="26" s="1"/>
  <c r="M1407" i="26"/>
  <c r="O1407" i="26" s="1"/>
  <c r="M1436" i="26"/>
  <c r="O1436" i="26" s="1"/>
  <c r="M1441" i="26"/>
  <c r="O1441" i="26" s="1"/>
  <c r="M1474" i="26"/>
  <c r="O1474" i="26" s="1"/>
  <c r="M1499" i="26"/>
  <c r="O1499" i="26" s="1"/>
  <c r="M1502" i="26"/>
  <c r="O1502" i="26" s="1"/>
  <c r="M1529" i="26"/>
  <c r="O1529" i="26" s="1"/>
  <c r="M1531" i="26"/>
  <c r="O1531" i="26" s="1"/>
  <c r="M1534" i="26"/>
  <c r="O1534" i="26" s="1"/>
  <c r="M1541" i="26"/>
  <c r="O1541" i="26" s="1"/>
  <c r="M1559" i="26"/>
  <c r="O1559" i="26" s="1"/>
  <c r="M1562" i="26"/>
  <c r="O1562" i="26" s="1"/>
  <c r="M1567" i="26"/>
  <c r="O1567" i="26" s="1"/>
  <c r="M1573" i="26"/>
  <c r="O1573" i="26" s="1"/>
  <c r="M1574" i="26"/>
  <c r="O1574" i="26" s="1"/>
  <c r="M1582" i="26"/>
  <c r="O1582" i="26" s="1"/>
  <c r="M1590" i="26"/>
  <c r="O1590" i="26" s="1"/>
  <c r="M1594" i="26"/>
  <c r="O1594" i="26" s="1"/>
  <c r="M1600" i="26"/>
  <c r="O1600" i="26" s="1"/>
  <c r="M1645" i="26"/>
  <c r="O1645" i="26" s="1"/>
  <c r="M1697" i="26"/>
  <c r="O1697" i="26" s="1"/>
  <c r="M1083" i="26"/>
  <c r="O1083" i="26" s="1"/>
  <c r="P1082" i="26" s="1"/>
  <c r="C93" i="17" s="1"/>
  <c r="M1093" i="26"/>
  <c r="O1093" i="26" s="1"/>
  <c r="M1160" i="26"/>
  <c r="O1160" i="26" s="1"/>
  <c r="M1262" i="26"/>
  <c r="O1262" i="26" s="1"/>
  <c r="M1302" i="26"/>
  <c r="O1302" i="26" s="1"/>
  <c r="M1397" i="26"/>
  <c r="O1397" i="26" s="1"/>
  <c r="M1403" i="26"/>
  <c r="O1403" i="26" s="1"/>
  <c r="M1494" i="26"/>
  <c r="O1494" i="26" s="1"/>
  <c r="M1500" i="26"/>
  <c r="O1500" i="26" s="1"/>
  <c r="M1526" i="26"/>
  <c r="O1526" i="26" s="1"/>
  <c r="M1542" i="26"/>
  <c r="O1542" i="26" s="1"/>
  <c r="M1555" i="26"/>
  <c r="O1555" i="26" s="1"/>
  <c r="M1608" i="26"/>
  <c r="O1608" i="26" s="1"/>
  <c r="M1625" i="26"/>
  <c r="O1625" i="26" s="1"/>
  <c r="M1708" i="26"/>
  <c r="O1708" i="26" s="1"/>
  <c r="M1636" i="26"/>
  <c r="O1636" i="26" s="1"/>
  <c r="M1646" i="26"/>
  <c r="O1646" i="26" s="1"/>
  <c r="M1647" i="26"/>
  <c r="O1647" i="26" s="1"/>
  <c r="M1651" i="26"/>
  <c r="O1651" i="26" s="1"/>
  <c r="M1655" i="26"/>
  <c r="O1655" i="26" s="1"/>
  <c r="M1673" i="26"/>
  <c r="O1673" i="26" s="1"/>
  <c r="M1684" i="26"/>
  <c r="O1684" i="26" s="1"/>
  <c r="M1690" i="26"/>
  <c r="O1690" i="26" s="1"/>
  <c r="M1713" i="26"/>
  <c r="O1713" i="26" s="1"/>
  <c r="M1750" i="26"/>
  <c r="O1750" i="26" s="1"/>
  <c r="M1595" i="26"/>
  <c r="O1595" i="26" s="1"/>
  <c r="M1599" i="26"/>
  <c r="O1599" i="26" s="1"/>
  <c r="M1607" i="26"/>
  <c r="O1607" i="26" s="1"/>
  <c r="M1613" i="26"/>
  <c r="O1613" i="26" s="1"/>
  <c r="M1632" i="26"/>
  <c r="O1632" i="26" s="1"/>
  <c r="M1660" i="26"/>
  <c r="O1660" i="26" s="1"/>
  <c r="M1669" i="26"/>
  <c r="O1669" i="26" s="1"/>
  <c r="M1675" i="26"/>
  <c r="O1675" i="26" s="1"/>
  <c r="M1687" i="26"/>
  <c r="O1687" i="26" s="1"/>
  <c r="M1701" i="26"/>
  <c r="O1701" i="26" s="1"/>
  <c r="M1707" i="26"/>
  <c r="O1707" i="26" s="1"/>
  <c r="M1710" i="26"/>
  <c r="O1710" i="26" s="1"/>
  <c r="M1714" i="26"/>
  <c r="O1714" i="26" s="1"/>
  <c r="M1722" i="26"/>
  <c r="O1722" i="26" s="1"/>
  <c r="M1738" i="26"/>
  <c r="O1738" i="26" s="1"/>
  <c r="M1751" i="26"/>
  <c r="O1751" i="26" s="1"/>
  <c r="M1596" i="26"/>
  <c r="O1596" i="26" s="1"/>
  <c r="M1605" i="26"/>
  <c r="O1605" i="26" s="1"/>
  <c r="M1617" i="26"/>
  <c r="O1617" i="26" s="1"/>
  <c r="M1621" i="26"/>
  <c r="O1621" i="26" s="1"/>
  <c r="M1633" i="26"/>
  <c r="O1633" i="26" s="1"/>
  <c r="M1638" i="26"/>
  <c r="O1638" i="26" s="1"/>
  <c r="M1641" i="26"/>
  <c r="O1641" i="26" s="1"/>
  <c r="M1688" i="26"/>
  <c r="O1688" i="26" s="1"/>
  <c r="M1700" i="26"/>
  <c r="O1700" i="26" s="1"/>
  <c r="M1715" i="26"/>
  <c r="O1715" i="26" s="1"/>
  <c r="M1718" i="26"/>
  <c r="O1718" i="26" s="1"/>
  <c r="M1729" i="26"/>
  <c r="O1729" i="26" s="1"/>
  <c r="M1733" i="26"/>
  <c r="O1733" i="26" s="1"/>
  <c r="M1736" i="26"/>
  <c r="O1736" i="26" s="1"/>
  <c r="M1739" i="26"/>
  <c r="O1739" i="26" s="1"/>
  <c r="M1743" i="26"/>
  <c r="O1743" i="26" s="1"/>
  <c r="P362" i="26"/>
  <c r="C33" i="17" s="1"/>
  <c r="P398" i="26"/>
  <c r="C36" i="17" s="1"/>
  <c r="P98" i="26"/>
  <c r="C11" i="17" s="1"/>
  <c r="P194" i="26"/>
  <c r="C19" i="17" s="1"/>
  <c r="P86" i="26"/>
  <c r="C10" i="17" s="1"/>
  <c r="P170" i="26"/>
  <c r="C17" i="17" s="1"/>
  <c r="P182" i="26"/>
  <c r="C18" i="17" s="1"/>
  <c r="P158" i="26"/>
  <c r="C16" i="17" s="1"/>
  <c r="M8" i="26"/>
  <c r="O8" i="26" s="1"/>
  <c r="M16" i="26"/>
  <c r="O16" i="26" s="1"/>
  <c r="M24" i="26"/>
  <c r="O24" i="26" s="1"/>
  <c r="M27" i="26"/>
  <c r="M35" i="26"/>
  <c r="O35" i="26" s="1"/>
  <c r="M45" i="26"/>
  <c r="O45" i="26" s="1"/>
  <c r="M52" i="26"/>
  <c r="O52" i="26" s="1"/>
  <c r="M60" i="26"/>
  <c r="O60" i="26" s="1"/>
  <c r="M68" i="26"/>
  <c r="O68" i="26" s="1"/>
  <c r="M75" i="26"/>
  <c r="O75" i="26" s="1"/>
  <c r="P74" i="26" s="1"/>
  <c r="C9" i="17" s="1"/>
  <c r="M79" i="26"/>
  <c r="O79" i="26" s="1"/>
  <c r="M83" i="26"/>
  <c r="O83" i="26" s="1"/>
  <c r="M124" i="26"/>
  <c r="O124" i="26" s="1"/>
  <c r="M126" i="26"/>
  <c r="O126" i="26" s="1"/>
  <c r="M128" i="26"/>
  <c r="O128" i="26" s="1"/>
  <c r="M130" i="26"/>
  <c r="O130" i="26" s="1"/>
  <c r="M157" i="26"/>
  <c r="O157" i="26" s="1"/>
  <c r="P206" i="26"/>
  <c r="C20" i="17" s="1"/>
  <c r="M220" i="26"/>
  <c r="M4" i="26"/>
  <c r="M12" i="26"/>
  <c r="O12" i="26" s="1"/>
  <c r="M20" i="26"/>
  <c r="M31" i="26"/>
  <c r="O31" i="26" s="1"/>
  <c r="M41" i="26"/>
  <c r="M49" i="26"/>
  <c r="O49" i="26" s="1"/>
  <c r="M56" i="26"/>
  <c r="O56" i="26" s="1"/>
  <c r="M64" i="26"/>
  <c r="P110" i="26"/>
  <c r="C12" i="17" s="1"/>
  <c r="M132" i="26"/>
  <c r="O132" i="26" s="1"/>
  <c r="M134" i="26"/>
  <c r="M147" i="26"/>
  <c r="O147" i="26" s="1"/>
  <c r="M149" i="26"/>
  <c r="O149" i="26" s="1"/>
  <c r="M151" i="26"/>
  <c r="O151" i="26" s="1"/>
  <c r="M153" i="26"/>
  <c r="O153" i="26" s="1"/>
  <c r="M155" i="26"/>
  <c r="O155" i="26" s="1"/>
  <c r="P230" i="26"/>
  <c r="C22" i="17" s="1"/>
  <c r="P278" i="26"/>
  <c r="C26" i="17" s="1"/>
  <c r="P338" i="26"/>
  <c r="C31" i="17" s="1"/>
  <c r="P470" i="26"/>
  <c r="C42" i="17" s="1"/>
  <c r="P326" i="26"/>
  <c r="C30" i="17" s="1"/>
  <c r="M243" i="26"/>
  <c r="O243" i="26" s="1"/>
  <c r="M244" i="26"/>
  <c r="O244" i="26" s="1"/>
  <c r="M245" i="26"/>
  <c r="O245" i="26" s="1"/>
  <c r="M246" i="26"/>
  <c r="O246" i="26" s="1"/>
  <c r="M247" i="26"/>
  <c r="O247" i="26" s="1"/>
  <c r="M248" i="26"/>
  <c r="O248" i="26" s="1"/>
  <c r="M249" i="26"/>
  <c r="O249" i="26" s="1"/>
  <c r="M250" i="26"/>
  <c r="O250" i="26" s="1"/>
  <c r="M251" i="26"/>
  <c r="O251" i="26" s="1"/>
  <c r="M252" i="26"/>
  <c r="O252" i="26" s="1"/>
  <c r="M253" i="26"/>
  <c r="O253" i="26" s="1"/>
  <c r="M254" i="26"/>
  <c r="P422" i="26"/>
  <c r="C38" i="17" s="1"/>
  <c r="P446" i="26"/>
  <c r="C40" i="17" s="1"/>
  <c r="M267" i="26"/>
  <c r="O267" i="26" s="1"/>
  <c r="M268" i="26"/>
  <c r="O268" i="26" s="1"/>
  <c r="M269" i="26"/>
  <c r="O269" i="26" s="1"/>
  <c r="M270" i="26"/>
  <c r="O270" i="26" s="1"/>
  <c r="M271" i="26"/>
  <c r="O271" i="26" s="1"/>
  <c r="M272" i="26"/>
  <c r="O272" i="26" s="1"/>
  <c r="M273" i="26"/>
  <c r="O273" i="26" s="1"/>
  <c r="M274" i="26"/>
  <c r="O274" i="26" s="1"/>
  <c r="M275" i="26"/>
  <c r="O275" i="26" s="1"/>
  <c r="M276" i="26"/>
  <c r="O276" i="26" s="1"/>
  <c r="M277" i="26"/>
  <c r="O277" i="26" s="1"/>
  <c r="M291" i="26"/>
  <c r="O291" i="26" s="1"/>
  <c r="M292" i="26"/>
  <c r="O292" i="26" s="1"/>
  <c r="M293" i="26"/>
  <c r="O293" i="26" s="1"/>
  <c r="M294" i="26"/>
  <c r="O294" i="26" s="1"/>
  <c r="M295" i="26"/>
  <c r="O295" i="26" s="1"/>
  <c r="M296" i="26"/>
  <c r="O296" i="26" s="1"/>
  <c r="M297" i="26"/>
  <c r="O297" i="26" s="1"/>
  <c r="M298" i="26"/>
  <c r="O298" i="26" s="1"/>
  <c r="M299" i="26"/>
  <c r="O299" i="26" s="1"/>
  <c r="M300" i="26"/>
  <c r="O300" i="26" s="1"/>
  <c r="M301" i="26"/>
  <c r="O301" i="26" s="1"/>
  <c r="M302" i="26"/>
  <c r="M374" i="26"/>
  <c r="M413" i="26"/>
  <c r="P494" i="26"/>
  <c r="C44" i="17" s="1"/>
  <c r="M459" i="26"/>
  <c r="O459" i="26" s="1"/>
  <c r="M460" i="26"/>
  <c r="O460" i="26" s="1"/>
  <c r="M461" i="26"/>
  <c r="O461" i="26" s="1"/>
  <c r="M462" i="26"/>
  <c r="O462" i="26" s="1"/>
  <c r="M463" i="26"/>
  <c r="O463" i="26" s="1"/>
  <c r="M464" i="26"/>
  <c r="O464" i="26" s="1"/>
  <c r="M465" i="26"/>
  <c r="O465" i="26" s="1"/>
  <c r="M466" i="26"/>
  <c r="O466" i="26" s="1"/>
  <c r="M467" i="26"/>
  <c r="O467" i="26" s="1"/>
  <c r="M468" i="26"/>
  <c r="O468" i="26" s="1"/>
  <c r="M469" i="26"/>
  <c r="O469" i="26" s="1"/>
  <c r="M483" i="26"/>
  <c r="O483" i="26" s="1"/>
  <c r="M484" i="26"/>
  <c r="O484" i="26" s="1"/>
  <c r="M485" i="26"/>
  <c r="O485" i="26" s="1"/>
  <c r="M486" i="26"/>
  <c r="O486" i="26" s="1"/>
  <c r="M487" i="26"/>
  <c r="O487" i="26" s="1"/>
  <c r="M488" i="26"/>
  <c r="O488" i="26" s="1"/>
  <c r="M511" i="26"/>
  <c r="O511" i="26" s="1"/>
  <c r="M536" i="26"/>
  <c r="O536" i="26" s="1"/>
  <c r="P554" i="26"/>
  <c r="C49" i="17" s="1"/>
  <c r="P710" i="26"/>
  <c r="C62" i="17" s="1"/>
  <c r="M509" i="26"/>
  <c r="M517" i="26"/>
  <c r="O517" i="26" s="1"/>
  <c r="P518" i="26"/>
  <c r="C46" i="17" s="1"/>
  <c r="M534" i="26"/>
  <c r="O534" i="26" s="1"/>
  <c r="M542" i="26"/>
  <c r="O542" i="26" s="1"/>
  <c r="M579" i="26"/>
  <c r="O579" i="26" s="1"/>
  <c r="P626" i="26"/>
  <c r="C55" i="17" s="1"/>
  <c r="P674" i="26"/>
  <c r="C59" i="17" s="1"/>
  <c r="P842" i="26"/>
  <c r="C73" i="17" s="1"/>
  <c r="P962" i="26"/>
  <c r="C83" i="17" s="1"/>
  <c r="P1010" i="26"/>
  <c r="C87" i="17" s="1"/>
  <c r="M546" i="26"/>
  <c r="O546" i="26" s="1"/>
  <c r="M552" i="26"/>
  <c r="O552" i="26" s="1"/>
  <c r="M573" i="26"/>
  <c r="O573" i="26" s="1"/>
  <c r="M581" i="26"/>
  <c r="O581" i="26" s="1"/>
  <c r="M591" i="26"/>
  <c r="O591" i="26" s="1"/>
  <c r="M599" i="26"/>
  <c r="O599" i="26" s="1"/>
  <c r="M602" i="26"/>
  <c r="M776" i="26"/>
  <c r="O776" i="26" s="1"/>
  <c r="M779" i="26"/>
  <c r="O779" i="26" s="1"/>
  <c r="P926" i="26"/>
  <c r="C80" i="17" s="1"/>
  <c r="P938" i="26"/>
  <c r="C81" i="17" s="1"/>
  <c r="M544" i="26"/>
  <c r="O544" i="26" s="1"/>
  <c r="M548" i="26"/>
  <c r="O548" i="26" s="1"/>
  <c r="M566" i="26"/>
  <c r="O566" i="26" s="1"/>
  <c r="M569" i="26"/>
  <c r="O569" i="26" s="1"/>
  <c r="M577" i="26"/>
  <c r="O577" i="26" s="1"/>
  <c r="M585" i="26"/>
  <c r="O585" i="26" s="1"/>
  <c r="M589" i="26"/>
  <c r="O589" i="26" s="1"/>
  <c r="M595" i="26"/>
  <c r="O595" i="26" s="1"/>
  <c r="M615" i="26"/>
  <c r="O615" i="26" s="1"/>
  <c r="M617" i="26"/>
  <c r="O617" i="26" s="1"/>
  <c r="M619" i="26"/>
  <c r="O619" i="26" s="1"/>
  <c r="M621" i="26"/>
  <c r="O621" i="26" s="1"/>
  <c r="M623" i="26"/>
  <c r="O623" i="26" s="1"/>
  <c r="M625" i="26"/>
  <c r="O625" i="26" s="1"/>
  <c r="M658" i="26"/>
  <c r="M663" i="26"/>
  <c r="O663" i="26" s="1"/>
  <c r="M665" i="26"/>
  <c r="O665" i="26" s="1"/>
  <c r="M667" i="26"/>
  <c r="O667" i="26" s="1"/>
  <c r="M669" i="26"/>
  <c r="O669" i="26" s="1"/>
  <c r="M671" i="26"/>
  <c r="O671" i="26" s="1"/>
  <c r="M673" i="26"/>
  <c r="O673" i="26" s="1"/>
  <c r="M691" i="26"/>
  <c r="P722" i="26"/>
  <c r="C63" i="17" s="1"/>
  <c r="M735" i="26"/>
  <c r="M764" i="26"/>
  <c r="O764" i="26" s="1"/>
  <c r="M771" i="26"/>
  <c r="O771" i="26" s="1"/>
  <c r="P806" i="26"/>
  <c r="C70" i="17" s="1"/>
  <c r="P818" i="26"/>
  <c r="C71" i="17" s="1"/>
  <c r="P866" i="26"/>
  <c r="C75" i="17" s="1"/>
  <c r="M765" i="26"/>
  <c r="O765" i="26" s="1"/>
  <c r="M746" i="26"/>
  <c r="M769" i="26"/>
  <c r="O769" i="26" s="1"/>
  <c r="M783" i="26"/>
  <c r="M855" i="26"/>
  <c r="O855" i="26" s="1"/>
  <c r="M856" i="26"/>
  <c r="O856" i="26" s="1"/>
  <c r="M857" i="26"/>
  <c r="O857" i="26" s="1"/>
  <c r="M858" i="26"/>
  <c r="O858" i="26" s="1"/>
  <c r="M859" i="26"/>
  <c r="O859" i="26" s="1"/>
  <c r="M860" i="26"/>
  <c r="O860" i="26" s="1"/>
  <c r="M861" i="26"/>
  <c r="O861" i="26" s="1"/>
  <c r="M862" i="26"/>
  <c r="O862" i="26" s="1"/>
  <c r="M863" i="26"/>
  <c r="O863" i="26" s="1"/>
  <c r="M864" i="26"/>
  <c r="O864" i="26" s="1"/>
  <c r="M865" i="26"/>
  <c r="O865" i="26" s="1"/>
  <c r="M879" i="26"/>
  <c r="O879" i="26" s="1"/>
  <c r="M880" i="26"/>
  <c r="O880" i="26" s="1"/>
  <c r="M881" i="26"/>
  <c r="O881" i="26" s="1"/>
  <c r="M882" i="26"/>
  <c r="O882" i="26" s="1"/>
  <c r="M883" i="26"/>
  <c r="O883" i="26" s="1"/>
  <c r="M884" i="26"/>
  <c r="O884" i="26" s="1"/>
  <c r="M885" i="26"/>
  <c r="O885" i="26" s="1"/>
  <c r="M886" i="26"/>
  <c r="O886" i="26" s="1"/>
  <c r="M887" i="26"/>
  <c r="O887" i="26" s="1"/>
  <c r="M888" i="26"/>
  <c r="O888" i="26" s="1"/>
  <c r="M889" i="26"/>
  <c r="O889" i="26" s="1"/>
  <c r="M890" i="26"/>
  <c r="M999" i="26"/>
  <c r="O999" i="26" s="1"/>
  <c r="M1000" i="26"/>
  <c r="O1000" i="26" s="1"/>
  <c r="M1001" i="26"/>
  <c r="O1001" i="26" s="1"/>
  <c r="M1002" i="26"/>
  <c r="O1002" i="26" s="1"/>
  <c r="M1003" i="26"/>
  <c r="O1003" i="26" s="1"/>
  <c r="M1004" i="26"/>
  <c r="O1004" i="26" s="1"/>
  <c r="M1005" i="26"/>
  <c r="O1005" i="26" s="1"/>
  <c r="M1006" i="26"/>
  <c r="O1006" i="26" s="1"/>
  <c r="M1007" i="26"/>
  <c r="O1007" i="26" s="1"/>
  <c r="M1008" i="26"/>
  <c r="O1008" i="26" s="1"/>
  <c r="M1009" i="26"/>
  <c r="O1009" i="26" s="1"/>
  <c r="M1023" i="26"/>
  <c r="O1023" i="26" s="1"/>
  <c r="M1024" i="26"/>
  <c r="O1024" i="26" s="1"/>
  <c r="M1025" i="26"/>
  <c r="O1025" i="26" s="1"/>
  <c r="M1026" i="26"/>
  <c r="O1026" i="26" s="1"/>
  <c r="M1027" i="26"/>
  <c r="O1027" i="26" s="1"/>
  <c r="M1028" i="26"/>
  <c r="O1028" i="26" s="1"/>
  <c r="M1029" i="26"/>
  <c r="O1029" i="26" s="1"/>
  <c r="M1030" i="26"/>
  <c r="O1030" i="26" s="1"/>
  <c r="M1031" i="26"/>
  <c r="O1031" i="26" s="1"/>
  <c r="M1032" i="26"/>
  <c r="O1032" i="26" s="1"/>
  <c r="M1033" i="26"/>
  <c r="O1033" i="26" s="1"/>
  <c r="M1034" i="26"/>
  <c r="M1099" i="26"/>
  <c r="O1099" i="26" s="1"/>
  <c r="M794" i="26"/>
  <c r="M903" i="26"/>
  <c r="O903" i="26" s="1"/>
  <c r="M904" i="26"/>
  <c r="O904" i="26" s="1"/>
  <c r="M905" i="26"/>
  <c r="O905" i="26" s="1"/>
  <c r="M906" i="26"/>
  <c r="O906" i="26" s="1"/>
  <c r="M907" i="26"/>
  <c r="O907" i="26" s="1"/>
  <c r="M908" i="26"/>
  <c r="O908" i="26" s="1"/>
  <c r="M909" i="26"/>
  <c r="O909" i="26" s="1"/>
  <c r="M910" i="26"/>
  <c r="O910" i="26" s="1"/>
  <c r="M911" i="26"/>
  <c r="O911" i="26" s="1"/>
  <c r="M912" i="26"/>
  <c r="O912" i="26" s="1"/>
  <c r="M913" i="26"/>
  <c r="O913" i="26" s="1"/>
  <c r="M914" i="26"/>
  <c r="M1077" i="26"/>
  <c r="O1077" i="26" s="1"/>
  <c r="M1096" i="26"/>
  <c r="O1096" i="26" s="1"/>
  <c r="M1097" i="26"/>
  <c r="O1097" i="26" s="1"/>
  <c r="M1104" i="26"/>
  <c r="O1104" i="26" s="1"/>
  <c r="M1105" i="26"/>
  <c r="O1105" i="26" s="1"/>
  <c r="M1117" i="26"/>
  <c r="O1117" i="26" s="1"/>
  <c r="M1157" i="26"/>
  <c r="O1157" i="26" s="1"/>
  <c r="M1159" i="26"/>
  <c r="O1159" i="26" s="1"/>
  <c r="M1180" i="26"/>
  <c r="O1180" i="26" s="1"/>
  <c r="M1206" i="26"/>
  <c r="O1206" i="26" s="1"/>
  <c r="M1215" i="26"/>
  <c r="O1215" i="26" s="1"/>
  <c r="M1219" i="26"/>
  <c r="O1219" i="26" s="1"/>
  <c r="M1230" i="26"/>
  <c r="O1230" i="26" s="1"/>
  <c r="M1232" i="26"/>
  <c r="O1232" i="26" s="1"/>
  <c r="M1259" i="26"/>
  <c r="O1259" i="26" s="1"/>
  <c r="M1261" i="26"/>
  <c r="O1261" i="26" s="1"/>
  <c r="M1290" i="26"/>
  <c r="O1290" i="26" s="1"/>
  <c r="M1323" i="26"/>
  <c r="O1323" i="26" s="1"/>
  <c r="M1331" i="26"/>
  <c r="O1331" i="26" s="1"/>
  <c r="M1342" i="26"/>
  <c r="O1342" i="26" s="1"/>
  <c r="M1347" i="26"/>
  <c r="O1347" i="26" s="1"/>
  <c r="M1071" i="26"/>
  <c r="O1071" i="26" s="1"/>
  <c r="M1079" i="26"/>
  <c r="O1079" i="26" s="1"/>
  <c r="M1119" i="26"/>
  <c r="O1119" i="26" s="1"/>
  <c r="M1123" i="26"/>
  <c r="O1123" i="26" s="1"/>
  <c r="M1144" i="26"/>
  <c r="O1144" i="26" s="1"/>
  <c r="M1167" i="26"/>
  <c r="O1167" i="26" s="1"/>
  <c r="M1192" i="26"/>
  <c r="O1192" i="26" s="1"/>
  <c r="M1196" i="26"/>
  <c r="O1196" i="26" s="1"/>
  <c r="M1223" i="26"/>
  <c r="O1223" i="26" s="1"/>
  <c r="M1055" i="26"/>
  <c r="M1067" i="26"/>
  <c r="M1070" i="26"/>
  <c r="O1070" i="26" s="1"/>
  <c r="M1073" i="26"/>
  <c r="O1073" i="26" s="1"/>
  <c r="M1081" i="26"/>
  <c r="O1081" i="26" s="1"/>
  <c r="M1094" i="26"/>
  <c r="O1094" i="26" s="1"/>
  <c r="M1100" i="26"/>
  <c r="O1100" i="26" s="1"/>
  <c r="M1114" i="26"/>
  <c r="M1121" i="26"/>
  <c r="O1121" i="26" s="1"/>
  <c r="M1142" i="26"/>
  <c r="O1142" i="26" s="1"/>
  <c r="M1152" i="26"/>
  <c r="O1152" i="26" s="1"/>
  <c r="M1175" i="26"/>
  <c r="O1175" i="26" s="1"/>
  <c r="M1194" i="26"/>
  <c r="O1194" i="26" s="1"/>
  <c r="M1225" i="26"/>
  <c r="O1225" i="26" s="1"/>
  <c r="M1243" i="26"/>
  <c r="O1243" i="26" s="1"/>
  <c r="M1269" i="26"/>
  <c r="O1269" i="26" s="1"/>
  <c r="M1279" i="26"/>
  <c r="O1279" i="26" s="1"/>
  <c r="M1305" i="26"/>
  <c r="O1305" i="26" s="1"/>
  <c r="M1321" i="26"/>
  <c r="O1321" i="26" s="1"/>
  <c r="M1098" i="26"/>
  <c r="O1098" i="26" s="1"/>
  <c r="M1102" i="26"/>
  <c r="O1102" i="26" s="1"/>
  <c r="M1125" i="26"/>
  <c r="O1125" i="26" s="1"/>
  <c r="M1138" i="26"/>
  <c r="M1146" i="26"/>
  <c r="O1146" i="26" s="1"/>
  <c r="M1154" i="26"/>
  <c r="O1154" i="26" s="1"/>
  <c r="M1161" i="26"/>
  <c r="O1161" i="26" s="1"/>
  <c r="M1169" i="26"/>
  <c r="O1169" i="26" s="1"/>
  <c r="M1177" i="26"/>
  <c r="O1177" i="26" s="1"/>
  <c r="M1182" i="26"/>
  <c r="O1182" i="26" s="1"/>
  <c r="M1190" i="26"/>
  <c r="O1190" i="26" s="1"/>
  <c r="M1198" i="26"/>
  <c r="O1198" i="26" s="1"/>
  <c r="M1205" i="26"/>
  <c r="O1205" i="26" s="1"/>
  <c r="M1213" i="26"/>
  <c r="O1213" i="26" s="1"/>
  <c r="M1221" i="26"/>
  <c r="O1221" i="26" s="1"/>
  <c r="M1234" i="26"/>
  <c r="O1234" i="26" s="1"/>
  <c r="M1242" i="26"/>
  <c r="O1242" i="26" s="1"/>
  <c r="M1255" i="26"/>
  <c r="M1263" i="26"/>
  <c r="O1263" i="26" s="1"/>
  <c r="M1271" i="26"/>
  <c r="O1271" i="26" s="1"/>
  <c r="M1276" i="26"/>
  <c r="O1276" i="26" s="1"/>
  <c r="M1284" i="26"/>
  <c r="O1284" i="26" s="1"/>
  <c r="M1292" i="26"/>
  <c r="O1292" i="26" s="1"/>
  <c r="M1299" i="26"/>
  <c r="M1307" i="26"/>
  <c r="O1307" i="26" s="1"/>
  <c r="M1315" i="26"/>
  <c r="O1315" i="26" s="1"/>
  <c r="M1328" i="26"/>
  <c r="M1336" i="26"/>
  <c r="M1344" i="26"/>
  <c r="O1344" i="26" s="1"/>
  <c r="M1346" i="26"/>
  <c r="O1346" i="26" s="1"/>
  <c r="M1361" i="26"/>
  <c r="O1361" i="26" s="1"/>
  <c r="M1369" i="26"/>
  <c r="O1369" i="26" s="1"/>
  <c r="M1377" i="26"/>
  <c r="O1377" i="26" s="1"/>
  <c r="M1265" i="26"/>
  <c r="O1265" i="26" s="1"/>
  <c r="M1273" i="26"/>
  <c r="O1273" i="26" s="1"/>
  <c r="M1294" i="26"/>
  <c r="O1294" i="26" s="1"/>
  <c r="M1317" i="26"/>
  <c r="O1317" i="26" s="1"/>
  <c r="M1338" i="26"/>
  <c r="O1338" i="26" s="1"/>
  <c r="M1384" i="26"/>
  <c r="O1384" i="26" s="1"/>
  <c r="M1392" i="26"/>
  <c r="O1392" i="26" s="1"/>
  <c r="P1394" i="26"/>
  <c r="C119" i="17" s="1"/>
  <c r="M1360" i="26"/>
  <c r="O1360" i="26" s="1"/>
  <c r="M1364" i="26"/>
  <c r="O1364" i="26" s="1"/>
  <c r="M1368" i="26"/>
  <c r="O1368" i="26" s="1"/>
  <c r="M1378" i="26"/>
  <c r="O1378" i="26" s="1"/>
  <c r="M1383" i="26"/>
  <c r="O1383" i="26" s="1"/>
  <c r="M1387" i="26"/>
  <c r="O1387" i="26" s="1"/>
  <c r="M1391" i="26"/>
  <c r="O1391" i="26" s="1"/>
  <c r="M1422" i="26"/>
  <c r="O1422" i="26" s="1"/>
  <c r="M1435" i="26"/>
  <c r="O1435" i="26" s="1"/>
  <c r="M1448" i="26"/>
  <c r="O1448" i="26" s="1"/>
  <c r="M1459" i="26"/>
  <c r="O1459" i="26" s="1"/>
  <c r="M1478" i="26"/>
  <c r="O1478" i="26" s="1"/>
  <c r="M1505" i="26"/>
  <c r="O1505" i="26" s="1"/>
  <c r="M1509" i="26"/>
  <c r="O1509" i="26" s="1"/>
  <c r="M1513" i="26"/>
  <c r="O1513" i="26" s="1"/>
  <c r="M1516" i="26"/>
  <c r="O1516" i="26" s="1"/>
  <c r="M1580" i="26"/>
  <c r="O1580" i="26" s="1"/>
  <c r="M1348" i="26"/>
  <c r="O1348" i="26" s="1"/>
  <c r="M1408" i="26"/>
  <c r="O1408" i="26" s="1"/>
  <c r="M1412" i="26"/>
  <c r="O1412" i="26" s="1"/>
  <c r="M1416" i="26"/>
  <c r="O1416" i="26" s="1"/>
  <c r="M1426" i="26"/>
  <c r="O1426" i="26" s="1"/>
  <c r="M1431" i="26"/>
  <c r="O1431" i="26" s="1"/>
  <c r="M1437" i="26"/>
  <c r="O1437" i="26" s="1"/>
  <c r="M1447" i="26"/>
  <c r="O1447" i="26" s="1"/>
  <c r="M1458" i="26"/>
  <c r="O1458" i="26" s="1"/>
  <c r="M1464" i="26"/>
  <c r="O1464" i="26" s="1"/>
  <c r="M1480" i="26"/>
  <c r="O1480" i="26" s="1"/>
  <c r="M1484" i="26"/>
  <c r="O1484" i="26" s="1"/>
  <c r="M1488" i="26"/>
  <c r="O1488" i="26" s="1"/>
  <c r="M1491" i="26"/>
  <c r="O1491" i="26" s="1"/>
  <c r="M1518" i="26"/>
  <c r="O1518" i="26" s="1"/>
  <c r="M1578" i="26"/>
  <c r="O1578" i="26" s="1"/>
  <c r="M1586" i="26"/>
  <c r="M1352" i="26"/>
  <c r="O1352" i="26" s="1"/>
  <c r="M1362" i="26"/>
  <c r="O1362" i="26" s="1"/>
  <c r="M1366" i="26"/>
  <c r="O1366" i="26" s="1"/>
  <c r="M1385" i="26"/>
  <c r="O1385" i="26" s="1"/>
  <c r="M1389" i="26"/>
  <c r="O1389" i="26" s="1"/>
  <c r="M1393" i="26"/>
  <c r="O1393" i="26" s="1"/>
  <c r="M1439" i="26"/>
  <c r="O1439" i="26" s="1"/>
  <c r="M1444" i="26"/>
  <c r="O1444" i="26" s="1"/>
  <c r="M1452" i="26"/>
  <c r="O1452" i="26" s="1"/>
  <c r="M1455" i="26"/>
  <c r="O1455" i="26" s="1"/>
  <c r="M1463" i="26"/>
  <c r="O1463" i="26" s="1"/>
  <c r="M1470" i="26"/>
  <c r="M1492" i="26"/>
  <c r="O1492" i="26" s="1"/>
  <c r="M1497" i="26"/>
  <c r="O1497" i="26" s="1"/>
  <c r="M1519" i="26"/>
  <c r="O1519" i="26" s="1"/>
  <c r="M1524" i="26"/>
  <c r="O1524" i="26" s="1"/>
  <c r="M1576" i="26"/>
  <c r="O1576" i="26" s="1"/>
  <c r="M1584" i="26"/>
  <c r="O1584" i="26" s="1"/>
  <c r="M1465" i="26"/>
  <c r="O1465" i="26" s="1"/>
  <c r="M1530" i="26"/>
  <c r="O1530" i="26" s="1"/>
  <c r="M1546" i="26"/>
  <c r="M1551" i="26"/>
  <c r="O1551" i="26" s="1"/>
  <c r="M1572" i="26"/>
  <c r="O1572" i="26" s="1"/>
  <c r="M1482" i="26"/>
  <c r="O1482" i="26" s="1"/>
  <c r="M1486" i="26"/>
  <c r="O1486" i="26" s="1"/>
  <c r="M1490" i="26"/>
  <c r="O1490" i="26" s="1"/>
  <c r="M1503" i="26"/>
  <c r="O1503" i="26" s="1"/>
  <c r="M1507" i="26"/>
  <c r="O1507" i="26" s="1"/>
  <c r="M1511" i="26"/>
  <c r="O1511" i="26" s="1"/>
  <c r="M1532" i="26"/>
  <c r="O1532" i="26" s="1"/>
  <c r="M1550" i="26"/>
  <c r="O1550" i="26" s="1"/>
  <c r="M1553" i="26"/>
  <c r="O1553" i="26" s="1"/>
  <c r="M1568" i="26"/>
  <c r="O1568" i="26" s="1"/>
  <c r="M1618" i="26"/>
  <c r="M1623" i="26"/>
  <c r="O1623" i="26" s="1"/>
  <c r="M1629" i="26"/>
  <c r="O1629" i="26" s="1"/>
  <c r="M1686" i="26"/>
  <c r="O1686" i="26" s="1"/>
  <c r="M1702" i="26"/>
  <c r="O1702" i="26" s="1"/>
  <c r="M1709" i="26"/>
  <c r="O1709" i="26" s="1"/>
  <c r="M1631" i="26"/>
  <c r="O1631" i="26" s="1"/>
  <c r="M1635" i="26"/>
  <c r="O1635" i="26" s="1"/>
  <c r="M1648" i="26"/>
  <c r="O1648" i="26" s="1"/>
  <c r="M1652" i="26"/>
  <c r="O1652" i="26" s="1"/>
  <c r="M1656" i="26"/>
  <c r="O1656" i="26" s="1"/>
  <c r="M1665" i="26"/>
  <c r="M1680" i="26"/>
  <c r="O1680" i="26" s="1"/>
  <c r="M1694" i="26"/>
  <c r="O1694" i="26" s="1"/>
  <c r="M1746" i="26"/>
  <c r="M1637" i="26"/>
  <c r="O1637" i="26" s="1"/>
  <c r="M1689" i="26"/>
  <c r="O1689" i="26" s="1"/>
  <c r="M1717" i="26"/>
  <c r="O1717" i="26" s="1"/>
  <c r="M1719" i="26"/>
  <c r="O1719" i="26" s="1"/>
  <c r="M1670" i="26"/>
  <c r="O1670" i="26" s="1"/>
  <c r="M1696" i="26"/>
  <c r="O1696" i="26" s="1"/>
  <c r="M1704" i="26"/>
  <c r="O1704" i="26" s="1"/>
  <c r="M1711" i="26"/>
  <c r="O1711" i="26" s="1"/>
  <c r="M1723" i="26"/>
  <c r="O1723" i="26" s="1"/>
  <c r="M1732" i="26"/>
  <c r="O1732" i="26" s="1"/>
  <c r="M1740" i="26"/>
  <c r="O1740" i="26" s="1"/>
  <c r="M1650" i="26"/>
  <c r="O1650" i="26" s="1"/>
  <c r="M1654" i="26"/>
  <c r="O1654" i="26" s="1"/>
  <c r="M1698" i="26"/>
  <c r="O1698" i="26" s="1"/>
  <c r="M1725" i="26"/>
  <c r="O1725" i="26" s="1"/>
  <c r="P314" i="26" l="1"/>
  <c r="C29" i="17" s="1"/>
  <c r="P1598" i="26"/>
  <c r="C136" i="17" s="1"/>
  <c r="P434" i="26"/>
  <c r="C39" i="17" s="1"/>
  <c r="P386" i="26"/>
  <c r="C35" i="17" s="1"/>
  <c r="P950" i="26"/>
  <c r="C82" i="17" s="1"/>
  <c r="O1746" i="26"/>
  <c r="P1742" i="26" s="1"/>
  <c r="C148" i="17" s="1"/>
  <c r="O1470" i="26"/>
  <c r="P1466" i="26" s="1"/>
  <c r="C125" i="17" s="1"/>
  <c r="O1586" i="26"/>
  <c r="P1586" i="26" s="1"/>
  <c r="C135" i="17" s="1"/>
  <c r="O1328" i="26"/>
  <c r="P1322" i="26" s="1"/>
  <c r="C113" i="17" s="1"/>
  <c r="O1067" i="26"/>
  <c r="P1058" i="26" s="1"/>
  <c r="C91" i="17" s="1"/>
  <c r="O914" i="26"/>
  <c r="P914" i="26" s="1"/>
  <c r="C79" i="17" s="1"/>
  <c r="O794" i="26"/>
  <c r="P794" i="26" s="1"/>
  <c r="C69" i="17" s="1"/>
  <c r="O783" i="26"/>
  <c r="P782" i="26" s="1"/>
  <c r="C68" i="17" s="1"/>
  <c r="O134" i="26"/>
  <c r="P134" i="26" s="1"/>
  <c r="C14" i="17" s="1"/>
  <c r="O64" i="26"/>
  <c r="P62" i="26" s="1"/>
  <c r="C8" i="17" s="1"/>
  <c r="O220" i="26"/>
  <c r="P218" i="26" s="1"/>
  <c r="C21" i="17" s="1"/>
  <c r="O602" i="26"/>
  <c r="P602" i="26" s="1"/>
  <c r="C53" i="17" s="1"/>
  <c r="O509" i="26"/>
  <c r="P506" i="26" s="1"/>
  <c r="C45" i="17" s="1"/>
  <c r="O413" i="26"/>
  <c r="P410" i="26" s="1"/>
  <c r="C37" i="17" s="1"/>
  <c r="O254" i="26"/>
  <c r="P254" i="26" s="1"/>
  <c r="C24" i="17" s="1"/>
  <c r="O20" i="26"/>
  <c r="P14" i="26" s="1"/>
  <c r="C4" i="17" s="1"/>
  <c r="O691" i="26"/>
  <c r="P686" i="26" s="1"/>
  <c r="C60" i="17" s="1"/>
  <c r="O1055" i="26"/>
  <c r="P1046" i="26" s="1"/>
  <c r="C90" i="17" s="1"/>
  <c r="O890" i="26"/>
  <c r="P890" i="26" s="1"/>
  <c r="C77" i="17" s="1"/>
  <c r="O1618" i="26"/>
  <c r="P1610" i="26" s="1"/>
  <c r="C137" i="17" s="1"/>
  <c r="O1114" i="26"/>
  <c r="P1106" i="26" s="1"/>
  <c r="C95" i="17" s="1"/>
  <c r="O1034" i="26"/>
  <c r="P1034" i="26" s="1"/>
  <c r="C89" i="17" s="1"/>
  <c r="O746" i="26"/>
  <c r="P746" i="26" s="1"/>
  <c r="C65" i="17" s="1"/>
  <c r="O735" i="26"/>
  <c r="P734" i="26" s="1"/>
  <c r="C64" i="17" s="1"/>
  <c r="O374" i="26"/>
  <c r="P374" i="26" s="1"/>
  <c r="C34" i="17" s="1"/>
  <c r="O1255" i="26"/>
  <c r="P1250" i="26" s="1"/>
  <c r="C107" i="17" s="1"/>
  <c r="O1665" i="26"/>
  <c r="P1658" i="26" s="1"/>
  <c r="C141" i="17" s="1"/>
  <c r="O1546" i="26"/>
  <c r="P1538" i="26" s="1"/>
  <c r="C131" i="17" s="1"/>
  <c r="O1336" i="26"/>
  <c r="P1334" i="26" s="1"/>
  <c r="C114" i="17" s="1"/>
  <c r="O1299" i="26"/>
  <c r="P1298" i="26" s="1"/>
  <c r="C111" i="17" s="1"/>
  <c r="O1138" i="26"/>
  <c r="P1130" i="26" s="1"/>
  <c r="C97" i="17" s="1"/>
  <c r="O658" i="26"/>
  <c r="P650" i="26" s="1"/>
  <c r="C57" i="17" s="1"/>
  <c r="O302" i="26"/>
  <c r="P302" i="26" s="1"/>
  <c r="C28" i="17" s="1"/>
  <c r="O41" i="26"/>
  <c r="P38" i="26" s="1"/>
  <c r="C6" i="17" s="1"/>
  <c r="O4" i="26"/>
  <c r="P2" i="26" s="1"/>
  <c r="C3" i="17" s="1"/>
  <c r="O27" i="26"/>
  <c r="P26" i="26" s="1"/>
  <c r="C5" i="17" s="1"/>
  <c r="P1142" i="26"/>
  <c r="C98" i="17" s="1"/>
  <c r="P1094" i="26"/>
  <c r="C94" i="17" s="1"/>
  <c r="P770" i="26"/>
  <c r="C67" i="17" s="1"/>
  <c r="P1718" i="26"/>
  <c r="C146" i="17" s="1"/>
  <c r="P1502" i="26"/>
  <c r="C128" i="17" s="1"/>
  <c r="P1310" i="26"/>
  <c r="C112" i="17" s="1"/>
  <c r="P1730" i="26"/>
  <c r="C147" i="17" s="1"/>
  <c r="P1646" i="26"/>
  <c r="C140" i="17" s="1"/>
  <c r="P1238" i="26"/>
  <c r="C106" i="17" s="1"/>
  <c r="P1202" i="26"/>
  <c r="C103" i="17" s="1"/>
  <c r="P1286" i="26"/>
  <c r="C110" i="17" s="1"/>
  <c r="P1178" i="26"/>
  <c r="C101" i="17" s="1"/>
  <c r="P1022" i="26"/>
  <c r="C88" i="17" s="1"/>
  <c r="P458" i="26"/>
  <c r="C41" i="17" s="1"/>
  <c r="P146" i="26"/>
  <c r="C15" i="17" s="1"/>
  <c r="P1670" i="26"/>
  <c r="C142" i="17" s="1"/>
  <c r="P1634" i="26"/>
  <c r="C139" i="17" s="1"/>
  <c r="P1682" i="26"/>
  <c r="C143" i="17" s="1"/>
  <c r="P1382" i="26"/>
  <c r="C118" i="17" s="1"/>
  <c r="P1358" i="26"/>
  <c r="C116" i="17" s="1"/>
  <c r="P1118" i="26"/>
  <c r="C96" i="17" s="1"/>
  <c r="P1214" i="26"/>
  <c r="C104" i="17" s="1"/>
  <c r="P902" i="26"/>
  <c r="C78" i="17" s="1"/>
  <c r="P758" i="26"/>
  <c r="C66" i="17" s="1"/>
  <c r="P614" i="26"/>
  <c r="C54" i="17" s="1"/>
  <c r="P578" i="26"/>
  <c r="C51" i="17" s="1"/>
  <c r="P482" i="26"/>
  <c r="C43" i="17" s="1"/>
  <c r="P242" i="26"/>
  <c r="C23" i="17" s="1"/>
  <c r="P50" i="26"/>
  <c r="C7" i="17" s="1"/>
  <c r="P1442" i="26"/>
  <c r="C123" i="17" s="1"/>
  <c r="P1562" i="26"/>
  <c r="C133" i="17" s="1"/>
  <c r="P1262" i="26"/>
  <c r="C108" i="17" s="1"/>
  <c r="P1166" i="26"/>
  <c r="C100" i="17" s="1"/>
  <c r="P854" i="26"/>
  <c r="C74" i="17" s="1"/>
  <c r="P662" i="26"/>
  <c r="C58" i="17" s="1"/>
  <c r="P266" i="26"/>
  <c r="C25" i="17" s="1"/>
  <c r="P1454" i="26"/>
  <c r="C124" i="17" s="1"/>
  <c r="P1514" i="26"/>
  <c r="C129" i="17" s="1"/>
  <c r="P1418" i="26"/>
  <c r="C121" i="17" s="1"/>
  <c r="P1706" i="26"/>
  <c r="C145" i="17" s="1"/>
  <c r="P1622" i="26"/>
  <c r="C138" i="17" s="1"/>
  <c r="P1526" i="26"/>
  <c r="C130" i="17" s="1"/>
  <c r="P1574" i="26"/>
  <c r="C134" i="17" s="1"/>
  <c r="P1430" i="26"/>
  <c r="C122" i="17" s="1"/>
  <c r="P1406" i="26"/>
  <c r="C120" i="17" s="1"/>
  <c r="P1370" i="26"/>
  <c r="C117" i="17" s="1"/>
  <c r="P1274" i="26"/>
  <c r="C109" i="17" s="1"/>
  <c r="P998" i="26"/>
  <c r="C86" i="17" s="1"/>
  <c r="P878" i="26"/>
  <c r="C76" i="17" s="1"/>
  <c r="P590" i="26"/>
  <c r="C52" i="17" s="1"/>
  <c r="P530" i="26"/>
  <c r="C47" i="17" s="1"/>
  <c r="P290" i="26"/>
  <c r="C27" i="17" s="1"/>
  <c r="P122" i="26"/>
  <c r="C13" i="17" s="1"/>
  <c r="P1550" i="26"/>
  <c r="C132" i="17" s="1"/>
  <c r="P1190" i="26"/>
  <c r="C102" i="17" s="1"/>
  <c r="P566" i="26"/>
  <c r="C50" i="17" s="1"/>
  <c r="P1490" i="26"/>
  <c r="C127" i="17" s="1"/>
  <c r="P1478" i="26"/>
  <c r="C126" i="17" s="1"/>
  <c r="P1346" i="26"/>
  <c r="C115" i="17" s="1"/>
  <c r="P1154" i="26"/>
  <c r="C99" i="17" s="1"/>
  <c r="P1694" i="26"/>
  <c r="C144" i="17" s="1"/>
  <c r="P1070" i="26"/>
  <c r="C92" i="17" s="1"/>
  <c r="P1226" i="26"/>
  <c r="C105" i="17" s="1"/>
  <c r="P542" i="26"/>
  <c r="C48" i="17" s="1"/>
  <c r="B5" i="20" l="1"/>
  <c r="N7" i="17" l="1"/>
  <c r="N6" i="17"/>
  <c r="AK6" i="13" l="1"/>
  <c r="AL6" i="13"/>
  <c r="AK7" i="13"/>
  <c r="AL7" i="13"/>
  <c r="AK8" i="13"/>
  <c r="AL8" i="13"/>
  <c r="AK9" i="13"/>
  <c r="AL9" i="13"/>
  <c r="AK10" i="13"/>
  <c r="AL10" i="13"/>
  <c r="AK11" i="13"/>
  <c r="AL11" i="13"/>
  <c r="AK12" i="13"/>
  <c r="AL12" i="13"/>
  <c r="AK13" i="13"/>
  <c r="AL13" i="13"/>
  <c r="AK14" i="13"/>
  <c r="AL14" i="13"/>
  <c r="AK15" i="13"/>
  <c r="AL15" i="13"/>
  <c r="AK16" i="13"/>
  <c r="AL16" i="13"/>
  <c r="AK17" i="13"/>
  <c r="AL17" i="13"/>
  <c r="AK18" i="13"/>
  <c r="AL18" i="13"/>
  <c r="AK19" i="13"/>
  <c r="AL19" i="13"/>
  <c r="AK20" i="13"/>
  <c r="AL20" i="13"/>
  <c r="AK21" i="13"/>
  <c r="AL21" i="13"/>
  <c r="AK22" i="13"/>
  <c r="AL22" i="13"/>
  <c r="AK23" i="13"/>
  <c r="AL23" i="13"/>
  <c r="AK24" i="13"/>
  <c r="AL24" i="13"/>
  <c r="AK25" i="13"/>
  <c r="AL25" i="13"/>
  <c r="AK26" i="13"/>
  <c r="AL26" i="13"/>
  <c r="AK27" i="13"/>
  <c r="AL27" i="13"/>
  <c r="AK28" i="13"/>
  <c r="AL28" i="13"/>
  <c r="AK29" i="13"/>
  <c r="AL29" i="13"/>
  <c r="AK30" i="13"/>
  <c r="AL30" i="13"/>
  <c r="AK31" i="13"/>
  <c r="AL31" i="13"/>
  <c r="AK32" i="13"/>
  <c r="AL32" i="13"/>
  <c r="AK33" i="13"/>
  <c r="AL33" i="13"/>
  <c r="AK34" i="13"/>
  <c r="AL34" i="13"/>
  <c r="AK35" i="13"/>
  <c r="AL35" i="13"/>
  <c r="AK36" i="13"/>
  <c r="AL36" i="13"/>
  <c r="AK37" i="13"/>
  <c r="AL37" i="13"/>
  <c r="AK38" i="13"/>
  <c r="AL38" i="13"/>
  <c r="AK39" i="13"/>
  <c r="AL39" i="13"/>
  <c r="AK40" i="13"/>
  <c r="AL40" i="13"/>
  <c r="AK41" i="13"/>
  <c r="AL41" i="13"/>
  <c r="AK42" i="13"/>
  <c r="AL42" i="13"/>
  <c r="AK43" i="13"/>
  <c r="AL43" i="13"/>
  <c r="AL5" i="13"/>
  <c r="AK5" i="13"/>
  <c r="B2" i="13" l="1"/>
  <c r="F2" i="13" l="1"/>
  <c r="F3" i="13"/>
  <c r="Y43" i="13"/>
  <c r="Z43" i="13" s="1"/>
  <c r="X43" i="13"/>
  <c r="AG43" i="13" s="1"/>
  <c r="Y42" i="13"/>
  <c r="X42" i="13"/>
  <c r="AG42" i="13" s="1"/>
  <c r="AI41" i="13"/>
  <c r="Z41" i="13"/>
  <c r="AA41" i="13" s="1"/>
  <c r="Y41" i="13"/>
  <c r="X41" i="13"/>
  <c r="AJ41" i="13" s="1"/>
  <c r="Y40" i="13"/>
  <c r="Z40" i="13" s="1"/>
  <c r="X40" i="13"/>
  <c r="AA40" i="13" s="1"/>
  <c r="Y39" i="13"/>
  <c r="X39" i="13"/>
  <c r="Y38" i="13"/>
  <c r="AC38" i="13" s="1"/>
  <c r="X38" i="13"/>
  <c r="Y37" i="13"/>
  <c r="AE37" i="13" s="1"/>
  <c r="X37" i="13"/>
  <c r="Z36" i="13"/>
  <c r="Y36" i="13"/>
  <c r="X36" i="13"/>
  <c r="AI36" i="13" s="1"/>
  <c r="Y35" i="13"/>
  <c r="Z35" i="13" s="1"/>
  <c r="X35" i="13"/>
  <c r="AF35" i="13" s="1"/>
  <c r="Y34" i="13"/>
  <c r="AH34" i="13" s="1"/>
  <c r="X34" i="13"/>
  <c r="AC34" i="13" s="1"/>
  <c r="AH33" i="13"/>
  <c r="Z33" i="13"/>
  <c r="Y33" i="13"/>
  <c r="X33" i="13"/>
  <c r="AG41" i="13" s="1"/>
  <c r="Y32" i="13"/>
  <c r="Z32" i="13" s="1"/>
  <c r="X32" i="13"/>
  <c r="Y31" i="13"/>
  <c r="Z31" i="13" s="1"/>
  <c r="X31" i="13"/>
  <c r="AC31" i="13" s="1"/>
  <c r="Z30" i="13"/>
  <c r="Y30" i="13"/>
  <c r="X30" i="13"/>
  <c r="AJ30" i="13" s="1"/>
  <c r="Y29" i="13"/>
  <c r="AG29" i="13" s="1"/>
  <c r="X29" i="13"/>
  <c r="AI29" i="13" s="1"/>
  <c r="Y28" i="13"/>
  <c r="Z28" i="13" s="1"/>
  <c r="AA28" i="13" s="1"/>
  <c r="X28" i="13"/>
  <c r="AI28" i="13" s="1"/>
  <c r="Y27" i="13"/>
  <c r="Z27" i="13" s="1"/>
  <c r="X27" i="13"/>
  <c r="Y26" i="13"/>
  <c r="X26" i="13"/>
  <c r="AI25" i="13"/>
  <c r="Z25" i="13"/>
  <c r="AA25" i="13" s="1"/>
  <c r="Y25" i="13"/>
  <c r="X25" i="13"/>
  <c r="AG25" i="13" s="1"/>
  <c r="AI24" i="13"/>
  <c r="Y24" i="13"/>
  <c r="Z24" i="13" s="1"/>
  <c r="AA24" i="13" s="1"/>
  <c r="X24" i="13"/>
  <c r="U24" i="13"/>
  <c r="T24" i="13"/>
  <c r="S24" i="13"/>
  <c r="R24" i="13"/>
  <c r="Q24" i="13"/>
  <c r="P24" i="13"/>
  <c r="Z23" i="13"/>
  <c r="Y23" i="13"/>
  <c r="X23" i="13"/>
  <c r="AG23" i="13" s="1"/>
  <c r="U23" i="13"/>
  <c r="T23" i="13"/>
  <c r="S23" i="13"/>
  <c r="R23" i="13"/>
  <c r="Q23" i="13"/>
  <c r="P23" i="13"/>
  <c r="Y22" i="13"/>
  <c r="X22" i="13"/>
  <c r="AC22" i="13" s="1"/>
  <c r="U22" i="13"/>
  <c r="T22" i="13"/>
  <c r="S22" i="13"/>
  <c r="R22" i="13"/>
  <c r="Q22" i="13"/>
  <c r="P22" i="13"/>
  <c r="AF21" i="13"/>
  <c r="Y21" i="13"/>
  <c r="Z21" i="13" s="1"/>
  <c r="X21" i="13"/>
  <c r="U21" i="13"/>
  <c r="T21" i="13"/>
  <c r="S21" i="13"/>
  <c r="R21" i="13"/>
  <c r="Q21" i="13"/>
  <c r="P21" i="13"/>
  <c r="Y20" i="13"/>
  <c r="Z20" i="13" s="1"/>
  <c r="X20" i="13"/>
  <c r="AE20" i="13" s="1"/>
  <c r="U20" i="13"/>
  <c r="T20" i="13"/>
  <c r="S20" i="13"/>
  <c r="R20" i="13"/>
  <c r="Q20" i="13"/>
  <c r="P20" i="13"/>
  <c r="Z19" i="13"/>
  <c r="Y19" i="13"/>
  <c r="X19" i="13"/>
  <c r="AG19" i="13" s="1"/>
  <c r="U19" i="13"/>
  <c r="T19" i="13"/>
  <c r="S19" i="13"/>
  <c r="R19" i="13"/>
  <c r="Q19" i="13"/>
  <c r="P19" i="13"/>
  <c r="Y18" i="13"/>
  <c r="AH18" i="13" s="1"/>
  <c r="X18" i="13"/>
  <c r="U18" i="13"/>
  <c r="T18" i="13"/>
  <c r="S18" i="13"/>
  <c r="R18" i="13"/>
  <c r="Q18" i="13"/>
  <c r="P18" i="13"/>
  <c r="Y17" i="13"/>
  <c r="Z17" i="13" s="1"/>
  <c r="X17" i="13"/>
  <c r="U17" i="13"/>
  <c r="T17" i="13"/>
  <c r="S17" i="13"/>
  <c r="R17" i="13"/>
  <c r="Q17" i="13"/>
  <c r="P17" i="13"/>
  <c r="AD16" i="13"/>
  <c r="Y16" i="13"/>
  <c r="Z16" i="13" s="1"/>
  <c r="AA16" i="13" s="1"/>
  <c r="X16" i="13"/>
  <c r="U16" i="13"/>
  <c r="T16" i="13"/>
  <c r="S16" i="13"/>
  <c r="R16" i="13"/>
  <c r="Q16" i="13"/>
  <c r="P16" i="13"/>
  <c r="Y15" i="13"/>
  <c r="X15" i="13"/>
  <c r="AI14" i="13"/>
  <c r="Y14" i="13"/>
  <c r="Z14" i="13" s="1"/>
  <c r="AA14" i="13" s="1"/>
  <c r="X14" i="13"/>
  <c r="AJ13" i="13"/>
  <c r="Y13" i="13"/>
  <c r="Z13" i="13" s="1"/>
  <c r="AB13" i="13" s="1"/>
  <c r="X13" i="13"/>
  <c r="Y12" i="13"/>
  <c r="Z12" i="13" s="1"/>
  <c r="X12" i="13"/>
  <c r="Y11" i="13"/>
  <c r="X11" i="13"/>
  <c r="AC11" i="13" s="1"/>
  <c r="Z10" i="13"/>
  <c r="Y10" i="13"/>
  <c r="X10" i="13"/>
  <c r="AG10" i="13" s="1"/>
  <c r="AB9" i="13"/>
  <c r="Y9" i="13"/>
  <c r="Z9" i="13" s="1"/>
  <c r="X9" i="13"/>
  <c r="AJ9" i="13" s="1"/>
  <c r="AB8" i="13"/>
  <c r="Y8" i="13"/>
  <c r="Z8" i="13" s="1"/>
  <c r="X8" i="13"/>
  <c r="AC8" i="13" s="1"/>
  <c r="Y7" i="13"/>
  <c r="Z7" i="13" s="1"/>
  <c r="X7" i="13"/>
  <c r="Y6" i="13"/>
  <c r="Z6" i="13" s="1"/>
  <c r="X6" i="13"/>
  <c r="Y5" i="13"/>
  <c r="AH5" i="13" s="1"/>
  <c r="X5" i="13"/>
  <c r="Y4" i="13"/>
  <c r="X4" i="13"/>
  <c r="F8" i="13"/>
  <c r="AF40" i="13" l="1"/>
  <c r="AJ8" i="13"/>
  <c r="AF9" i="13"/>
  <c r="AE10" i="13"/>
  <c r="AD11" i="13"/>
  <c r="AI13" i="13"/>
  <c r="AG14" i="13"/>
  <c r="AD14" i="13"/>
  <c r="AG16" i="13"/>
  <c r="AE16" i="13"/>
  <c r="AC18" i="13"/>
  <c r="AH19" i="13"/>
  <c r="AH23" i="13"/>
  <c r="AH24" i="13"/>
  <c r="AD25" i="13"/>
  <c r="Z29" i="13"/>
  <c r="AA29" i="13" s="1"/>
  <c r="AC30" i="13"/>
  <c r="AA33" i="13"/>
  <c r="AI33" i="13"/>
  <c r="AE36" i="13"/>
  <c r="Z37" i="13"/>
  <c r="AA37" i="13" s="1"/>
  <c r="AH37" i="13"/>
  <c r="AD38" i="13"/>
  <c r="AI40" i="13"/>
  <c r="AD41" i="13"/>
  <c r="AE19" i="13"/>
  <c r="AE23" i="13"/>
  <c r="AI9" i="13"/>
  <c r="AE14" i="13"/>
  <c r="AI16" i="13"/>
  <c r="AA19" i="13"/>
  <c r="AI19" i="13"/>
  <c r="AA23" i="13"/>
  <c r="AI23" i="13"/>
  <c r="AE25" i="13"/>
  <c r="AD29" i="13"/>
  <c r="AD30" i="13"/>
  <c r="AD33" i="13"/>
  <c r="AD34" i="13"/>
  <c r="AF36" i="13"/>
  <c r="AI37" i="13"/>
  <c r="AE41" i="13"/>
  <c r="AC43" i="13"/>
  <c r="AD10" i="13"/>
  <c r="AH29" i="13"/>
  <c r="AH10" i="13"/>
  <c r="AE7" i="13"/>
  <c r="AA9" i="13"/>
  <c r="AA10" i="13"/>
  <c r="AI10" i="13"/>
  <c r="AF13" i="13"/>
  <c r="AH14" i="13"/>
  <c r="AJ16" i="13"/>
  <c r="AF17" i="13"/>
  <c r="AD19" i="13"/>
  <c r="AB21" i="13"/>
  <c r="AJ22" i="13"/>
  <c r="AD23" i="13"/>
  <c r="AE24" i="13"/>
  <c r="AH25" i="13"/>
  <c r="AJ29" i="13"/>
  <c r="AE29" i="13"/>
  <c r="AG30" i="13"/>
  <c r="AH30" i="13"/>
  <c r="AB32" i="13"/>
  <c r="AG33" i="13"/>
  <c r="AE33" i="13"/>
  <c r="AJ34" i="13"/>
  <c r="AJ37" i="13"/>
  <c r="AD37" i="13"/>
  <c r="AJ38" i="13"/>
  <c r="AH41" i="13"/>
  <c r="AH6" i="13"/>
  <c r="AD6" i="13"/>
  <c r="AI6" i="13"/>
  <c r="AB7" i="13"/>
  <c r="AI12" i="13"/>
  <c r="AE12" i="13"/>
  <c r="AA12" i="13"/>
  <c r="AH12" i="13"/>
  <c r="AD12" i="13"/>
  <c r="AI15" i="13"/>
  <c r="AE15" i="13"/>
  <c r="Z5" i="13"/>
  <c r="AA5" i="13" s="1"/>
  <c r="AE5" i="13"/>
  <c r="AE6" i="13"/>
  <c r="AJ6" i="13"/>
  <c r="AD7" i="13"/>
  <c r="AI7" i="13"/>
  <c r="AH9" i="13"/>
  <c r="AD9" i="13"/>
  <c r="AC9" i="13"/>
  <c r="AG9" i="13"/>
  <c r="AE9" i="13"/>
  <c r="AJ11" i="13"/>
  <c r="AG12" i="13"/>
  <c r="AA13" i="13"/>
  <c r="Z15" i="13"/>
  <c r="AA15" i="13" s="1"/>
  <c r="AH15" i="13"/>
  <c r="AJ26" i="13"/>
  <c r="AD26" i="13"/>
  <c r="Z26" i="13"/>
  <c r="AH26" i="13"/>
  <c r="AC26" i="13"/>
  <c r="AI5" i="13"/>
  <c r="AC6" i="13"/>
  <c r="AH7" i="13"/>
  <c r="AF12" i="13"/>
  <c r="AG15" i="13"/>
  <c r="AG5" i="13"/>
  <c r="AA6" i="13"/>
  <c r="AF6" i="13"/>
  <c r="AI8" i="13"/>
  <c r="AE8" i="13"/>
  <c r="AA8" i="13"/>
  <c r="AH8" i="13"/>
  <c r="AD8" i="13"/>
  <c r="AF8" i="13"/>
  <c r="AI11" i="13"/>
  <c r="AE11" i="13"/>
  <c r="AG11" i="13"/>
  <c r="AB12" i="13"/>
  <c r="AJ12" i="13"/>
  <c r="AC15" i="13"/>
  <c r="AH20" i="13"/>
  <c r="AD20" i="13"/>
  <c r="AG20" i="13"/>
  <c r="AC20" i="13"/>
  <c r="AJ20" i="13"/>
  <c r="AB20" i="13"/>
  <c r="AI20" i="13"/>
  <c r="AA20" i="13"/>
  <c r="AF20" i="13"/>
  <c r="AI27" i="13"/>
  <c r="AH27" i="13"/>
  <c r="AD27" i="13"/>
  <c r="AG27" i="13"/>
  <c r="AB27" i="13"/>
  <c r="AF27" i="13"/>
  <c r="AA27" i="13"/>
  <c r="AE27" i="13"/>
  <c r="AJ27" i="13"/>
  <c r="AC27" i="13"/>
  <c r="AD5" i="13"/>
  <c r="AG7" i="13"/>
  <c r="AC7" i="13"/>
  <c r="AJ7" i="13"/>
  <c r="AI17" i="13"/>
  <c r="AE17" i="13"/>
  <c r="AA17" i="13"/>
  <c r="AH17" i="13"/>
  <c r="AD17" i="13"/>
  <c r="AC17" i="13"/>
  <c r="AJ17" i="13"/>
  <c r="AB17" i="13"/>
  <c r="AG17" i="13"/>
  <c r="AJ5" i="13"/>
  <c r="AC5" i="13"/>
  <c r="F6" i="13"/>
  <c r="AB6" i="13"/>
  <c r="AG6" i="13"/>
  <c r="AA7" i="13"/>
  <c r="AF7" i="13"/>
  <c r="AG8" i="13"/>
  <c r="Z11" i="13"/>
  <c r="AA11" i="13" s="1"/>
  <c r="AH11" i="13"/>
  <c r="AC12" i="13"/>
  <c r="AH13" i="13"/>
  <c r="AD13" i="13"/>
  <c r="AG13" i="13"/>
  <c r="AC13" i="13"/>
  <c r="AE13" i="13"/>
  <c r="AJ15" i="13"/>
  <c r="AD15" i="13"/>
  <c r="AJ18" i="13"/>
  <c r="AD18" i="13"/>
  <c r="AH22" i="13"/>
  <c r="AD22" i="13"/>
  <c r="Z22" i="13"/>
  <c r="AA22" i="13" s="1"/>
  <c r="AC39" i="13"/>
  <c r="AD42" i="13"/>
  <c r="AC42" i="13"/>
  <c r="AH42" i="13"/>
  <c r="Z42" i="13"/>
  <c r="AB10" i="13"/>
  <c r="AF10" i="13"/>
  <c r="AB14" i="13"/>
  <c r="AF14" i="13"/>
  <c r="AJ14" i="13"/>
  <c r="AB16" i="13"/>
  <c r="AF16" i="13"/>
  <c r="AG18" i="13"/>
  <c r="AH32" i="13"/>
  <c r="AD32" i="13"/>
  <c r="AG32" i="13"/>
  <c r="AC32" i="13"/>
  <c r="AI32" i="13"/>
  <c r="AA32" i="13"/>
  <c r="AF32" i="13"/>
  <c r="AE32" i="13"/>
  <c r="AJ32" i="13"/>
  <c r="AI35" i="13"/>
  <c r="AE35" i="13"/>
  <c r="AA35" i="13"/>
  <c r="AH35" i="13"/>
  <c r="AD35" i="13"/>
  <c r="AC35" i="13"/>
  <c r="AJ35" i="13"/>
  <c r="AB35" i="13"/>
  <c r="AG35" i="13"/>
  <c r="Z39" i="13"/>
  <c r="AB39" i="13" s="1"/>
  <c r="AJ39" i="13"/>
  <c r="AJ10" i="13"/>
  <c r="AF5" i="13"/>
  <c r="AC10" i="13"/>
  <c r="AB11" i="13"/>
  <c r="AF11" i="13"/>
  <c r="AC14" i="13"/>
  <c r="AF15" i="13"/>
  <c r="AC16" i="13"/>
  <c r="AH16" i="13"/>
  <c r="Z18" i="13"/>
  <c r="AI21" i="13"/>
  <c r="AE21" i="13"/>
  <c r="AA21" i="13"/>
  <c r="AH21" i="13"/>
  <c r="AD21" i="13"/>
  <c r="AG21" i="13"/>
  <c r="AC21" i="13"/>
  <c r="AJ21" i="13"/>
  <c r="AG22" i="13"/>
  <c r="AF26" i="13"/>
  <c r="AG39" i="13"/>
  <c r="AB24" i="13"/>
  <c r="AF24" i="13"/>
  <c r="AJ24" i="13"/>
  <c r="AH28" i="13"/>
  <c r="AD28" i="13"/>
  <c r="AG28" i="13"/>
  <c r="AC28" i="13"/>
  <c r="AB28" i="13"/>
  <c r="AJ28" i="13"/>
  <c r="AI31" i="13"/>
  <c r="AE31" i="13"/>
  <c r="AA31" i="13"/>
  <c r="AH31" i="13"/>
  <c r="AD31" i="13"/>
  <c r="AF31" i="13"/>
  <c r="AG38" i="13"/>
  <c r="AA18" i="13"/>
  <c r="AE18" i="13"/>
  <c r="AI18" i="13"/>
  <c r="AB19" i="13"/>
  <c r="AF19" i="13"/>
  <c r="AJ19" i="13"/>
  <c r="AE22" i="13"/>
  <c r="AI22" i="13"/>
  <c r="AB23" i="13"/>
  <c r="AF23" i="13"/>
  <c r="AJ23" i="13"/>
  <c r="AC24" i="13"/>
  <c r="AG24" i="13"/>
  <c r="AB25" i="13"/>
  <c r="AF25" i="13"/>
  <c r="AJ25" i="13"/>
  <c r="AA26" i="13"/>
  <c r="AE28" i="13"/>
  <c r="AG31" i="13"/>
  <c r="AG34" i="13"/>
  <c r="AA36" i="13"/>
  <c r="Z38" i="13"/>
  <c r="AB38" i="13" s="1"/>
  <c r="AH38" i="13"/>
  <c r="AH40" i="13"/>
  <c r="AD40" i="13"/>
  <c r="AG40" i="13"/>
  <c r="AC40" i="13"/>
  <c r="AB40" i="13"/>
  <c r="AJ40" i="13"/>
  <c r="AJ43" i="13"/>
  <c r="AB18" i="13"/>
  <c r="AF18" i="13"/>
  <c r="AC19" i="13"/>
  <c r="AF22" i="13"/>
  <c r="AC23" i="13"/>
  <c r="AD24" i="13"/>
  <c r="AC25" i="13"/>
  <c r="AI26" i="13"/>
  <c r="AE26" i="13"/>
  <c r="AB26" i="13"/>
  <c r="AG26" i="13"/>
  <c r="AF28" i="13"/>
  <c r="AB31" i="13"/>
  <c r="AJ31" i="13"/>
  <c r="Z34" i="13"/>
  <c r="AB34" i="13" s="1"/>
  <c r="AH36" i="13"/>
  <c r="AD36" i="13"/>
  <c r="AG36" i="13"/>
  <c r="AC36" i="13"/>
  <c r="AB36" i="13"/>
  <c r="AJ36" i="13"/>
  <c r="AI39" i="13"/>
  <c r="AE39" i="13"/>
  <c r="AA39" i="13"/>
  <c r="AH39" i="13"/>
  <c r="AD39" i="13"/>
  <c r="AF39" i="13"/>
  <c r="AE40" i="13"/>
  <c r="AJ42" i="13"/>
  <c r="AF29" i="13"/>
  <c r="AA30" i="13"/>
  <c r="AE30" i="13"/>
  <c r="AI30" i="13"/>
  <c r="AB33" i="13"/>
  <c r="AF33" i="13"/>
  <c r="AJ33" i="13"/>
  <c r="AE34" i="13"/>
  <c r="AI34" i="13"/>
  <c r="AB37" i="13"/>
  <c r="AF37" i="13"/>
  <c r="AE38" i="13"/>
  <c r="AI38" i="13"/>
  <c r="AB41" i="13"/>
  <c r="AF41" i="13"/>
  <c r="AA42" i="13"/>
  <c r="AE42" i="13"/>
  <c r="AI42" i="13"/>
  <c r="AD43" i="13"/>
  <c r="AH43" i="13"/>
  <c r="AC29" i="13"/>
  <c r="AB30" i="13"/>
  <c r="AF30" i="13"/>
  <c r="AC33" i="13"/>
  <c r="AF34" i="13"/>
  <c r="AC37" i="13"/>
  <c r="AG37" i="13"/>
  <c r="AF38" i="13"/>
  <c r="AC41" i="13"/>
  <c r="AB42" i="13"/>
  <c r="AF42" i="13"/>
  <c r="AA43" i="13"/>
  <c r="AE43" i="13"/>
  <c r="AI43" i="13"/>
  <c r="AB43" i="13"/>
  <c r="AF43" i="13"/>
  <c r="AB29" i="13" l="1"/>
  <c r="AA38" i="13"/>
  <c r="AB22" i="13"/>
  <c r="AA34" i="13"/>
  <c r="F4" i="13"/>
  <c r="F5" i="13"/>
  <c r="AB5" i="13"/>
  <c r="AB15" i="13"/>
  <c r="B2" i="25" l="1"/>
  <c r="L7" i="25" l="1"/>
  <c r="L3" i="25"/>
  <c r="L5" i="25"/>
  <c r="L6" i="25"/>
  <c r="L4" i="25"/>
  <c r="N38" i="10"/>
  <c r="O38" i="10"/>
  <c r="N39" i="10"/>
  <c r="O39" i="10"/>
  <c r="N40" i="10"/>
  <c r="O40" i="10"/>
  <c r="N41" i="10"/>
  <c r="O41" i="10"/>
  <c r="N42" i="10"/>
  <c r="O42" i="10"/>
  <c r="N43" i="10"/>
  <c r="O43" i="10"/>
  <c r="N44" i="10"/>
  <c r="O44" i="10"/>
  <c r="N45" i="10"/>
  <c r="O45" i="10"/>
  <c r="N46" i="10"/>
  <c r="O46" i="10"/>
  <c r="N47" i="10"/>
  <c r="O47" i="10"/>
  <c r="N48" i="10"/>
  <c r="O48" i="10"/>
  <c r="N49" i="10"/>
  <c r="O49" i="10"/>
  <c r="N50" i="10"/>
  <c r="O50" i="10"/>
  <c r="N51" i="10"/>
  <c r="O51" i="10"/>
  <c r="N52" i="10"/>
  <c r="O52" i="10"/>
  <c r="N53" i="10"/>
  <c r="O53" i="10"/>
  <c r="N54" i="10"/>
  <c r="O54" i="10"/>
  <c r="N55" i="10"/>
  <c r="O55" i="10"/>
  <c r="N56" i="10"/>
  <c r="O56" i="10"/>
  <c r="M39" i="10"/>
  <c r="M40" i="10"/>
  <c r="M41" i="10"/>
  <c r="M42" i="10"/>
  <c r="M43" i="10"/>
  <c r="M44" i="10"/>
  <c r="M45" i="10"/>
  <c r="M46" i="10"/>
  <c r="M47" i="10"/>
  <c r="M48" i="10"/>
  <c r="M49" i="10"/>
  <c r="M50" i="10"/>
  <c r="M51" i="10"/>
  <c r="M52" i="10"/>
  <c r="M53" i="10"/>
  <c r="M54" i="10"/>
  <c r="M55" i="10"/>
  <c r="M56" i="10"/>
  <c r="M38" i="10"/>
  <c r="M3" i="25" l="1"/>
  <c r="Q5" i="17" s="1"/>
  <c r="M7" i="25"/>
  <c r="E25" i="12"/>
  <c r="H24" i="12"/>
  <c r="E23" i="12"/>
  <c r="E24" i="12"/>
  <c r="B9" i="10"/>
  <c r="B8" i="10" l="1"/>
  <c r="N5" i="17" l="1"/>
  <c r="G12" i="21" l="1"/>
  <c r="G13" i="21" s="1"/>
  <c r="C3" i="10" l="1"/>
  <c r="B10" i="10"/>
  <c r="V4" i="10" s="1"/>
  <c r="B7" i="10"/>
  <c r="B3" i="20"/>
  <c r="B4" i="20"/>
  <c r="N2" i="17"/>
  <c r="N3" i="17"/>
  <c r="Q2" i="17" s="1"/>
  <c r="Q3" i="17" s="1"/>
  <c r="N4" i="17"/>
  <c r="L4" i="14"/>
  <c r="L3" i="14"/>
  <c r="O2" i="14" s="1"/>
  <c r="S6" i="20"/>
  <c r="F7" i="22" s="1"/>
  <c r="H4" i="10"/>
  <c r="N41" i="14"/>
  <c r="N50" i="14"/>
  <c r="N52" i="14"/>
  <c r="N53" i="14"/>
  <c r="L45" i="14"/>
  <c r="N43" i="14"/>
  <c r="N44" i="14"/>
  <c r="N45" i="14"/>
  <c r="N46" i="14"/>
  <c r="N57" i="14"/>
  <c r="N37" i="14"/>
  <c r="N32" i="14"/>
  <c r="N34" i="14"/>
  <c r="L2" i="14"/>
  <c r="H5" i="10"/>
  <c r="B7" i="1"/>
  <c r="B6" i="1"/>
  <c r="C7" i="1"/>
  <c r="D7" i="1"/>
  <c r="B8" i="1"/>
  <c r="C8" i="1"/>
  <c r="D8" i="1"/>
  <c r="B9" i="1"/>
  <c r="C9" i="1"/>
  <c r="D9" i="1"/>
  <c r="B10" i="1"/>
  <c r="C10" i="1"/>
  <c r="D10" i="1"/>
  <c r="B11" i="1"/>
  <c r="C11" i="1"/>
  <c r="D11" i="1"/>
  <c r="B12" i="1"/>
  <c r="C12" i="1"/>
  <c r="D12" i="1"/>
  <c r="B13" i="1"/>
  <c r="C13" i="1"/>
  <c r="D13" i="1"/>
  <c r="B14" i="1"/>
  <c r="C14" i="1"/>
  <c r="D14" i="1"/>
  <c r="B15" i="1"/>
  <c r="C15" i="1"/>
  <c r="D15" i="1"/>
  <c r="B16" i="1"/>
  <c r="C16" i="1"/>
  <c r="D16" i="1"/>
  <c r="B17" i="1"/>
  <c r="C17" i="1"/>
  <c r="D17" i="1"/>
  <c r="B18" i="1"/>
  <c r="C18" i="1"/>
  <c r="D18" i="1"/>
  <c r="B19" i="1"/>
  <c r="C19" i="1"/>
  <c r="D19" i="1"/>
  <c r="B20" i="1"/>
  <c r="C20" i="1"/>
  <c r="D20" i="1"/>
  <c r="B21" i="1"/>
  <c r="C21" i="1"/>
  <c r="D21" i="1"/>
  <c r="B22" i="1"/>
  <c r="C22" i="1"/>
  <c r="D22" i="1"/>
  <c r="B23" i="1"/>
  <c r="C23" i="1"/>
  <c r="D23" i="1"/>
  <c r="B24" i="1"/>
  <c r="C24" i="1"/>
  <c r="D24" i="1"/>
  <c r="B25" i="1"/>
  <c r="C25" i="1"/>
  <c r="D25" i="1"/>
  <c r="B26" i="1"/>
  <c r="C26" i="1"/>
  <c r="D26" i="1"/>
  <c r="B27" i="1"/>
  <c r="C27" i="1"/>
  <c r="D27" i="1"/>
  <c r="B28" i="1"/>
  <c r="C28" i="1"/>
  <c r="D28" i="1"/>
  <c r="B29" i="1"/>
  <c r="C29" i="1"/>
  <c r="D29" i="1"/>
  <c r="B30" i="1"/>
  <c r="C30" i="1"/>
  <c r="D30" i="1"/>
  <c r="B31" i="1"/>
  <c r="C31" i="1"/>
  <c r="D31" i="1"/>
  <c r="B32" i="1"/>
  <c r="C32" i="1"/>
  <c r="D32" i="1"/>
  <c r="B33" i="1"/>
  <c r="C33" i="1"/>
  <c r="D33" i="1"/>
  <c r="B34" i="1"/>
  <c r="C34" i="1"/>
  <c r="D34" i="1"/>
  <c r="B35" i="1"/>
  <c r="C35" i="1"/>
  <c r="D35" i="1"/>
  <c r="B36" i="1"/>
  <c r="C36" i="1"/>
  <c r="D36" i="1"/>
  <c r="B37" i="1"/>
  <c r="C37" i="1"/>
  <c r="D37" i="1"/>
  <c r="B38" i="1"/>
  <c r="C38" i="1"/>
  <c r="D38" i="1"/>
  <c r="B39" i="1"/>
  <c r="C39" i="1"/>
  <c r="D39" i="1"/>
  <c r="B40" i="1"/>
  <c r="C40" i="1"/>
  <c r="D40" i="1"/>
  <c r="B41" i="1"/>
  <c r="C41" i="1"/>
  <c r="D41" i="1"/>
  <c r="B42" i="1"/>
  <c r="C42" i="1"/>
  <c r="D42" i="1"/>
  <c r="B43" i="1"/>
  <c r="C43" i="1"/>
  <c r="D43" i="1"/>
  <c r="B44" i="1"/>
  <c r="C44" i="1"/>
  <c r="D44" i="1"/>
  <c r="B45" i="1"/>
  <c r="C45" i="1"/>
  <c r="D45" i="1"/>
  <c r="B46" i="1"/>
  <c r="C46" i="1"/>
  <c r="D46" i="1"/>
  <c r="B47" i="1"/>
  <c r="C47" i="1"/>
  <c r="D47" i="1"/>
  <c r="B48" i="1"/>
  <c r="C48" i="1"/>
  <c r="D48" i="1"/>
  <c r="B49" i="1"/>
  <c r="C49" i="1"/>
  <c r="D49" i="1"/>
  <c r="B50" i="1"/>
  <c r="C50" i="1"/>
  <c r="D50" i="1"/>
  <c r="B51" i="1"/>
  <c r="C51" i="1"/>
  <c r="D51" i="1"/>
  <c r="B52" i="1"/>
  <c r="C52" i="1"/>
  <c r="D52" i="1"/>
  <c r="B53" i="1"/>
  <c r="C53" i="1"/>
  <c r="D53" i="1"/>
  <c r="B54" i="1"/>
  <c r="C54" i="1"/>
  <c r="D54" i="1"/>
  <c r="B55" i="1"/>
  <c r="C55" i="1"/>
  <c r="D55" i="1"/>
  <c r="B56" i="1"/>
  <c r="C56" i="1"/>
  <c r="D56" i="1"/>
  <c r="B57" i="1"/>
  <c r="C57" i="1"/>
  <c r="D57" i="1"/>
  <c r="B58" i="1"/>
  <c r="C58" i="1"/>
  <c r="D58" i="1"/>
  <c r="B59" i="1"/>
  <c r="C59" i="1"/>
  <c r="D59" i="1"/>
  <c r="B60" i="1"/>
  <c r="C60" i="1"/>
  <c r="D60" i="1"/>
  <c r="B61" i="1"/>
  <c r="C61" i="1"/>
  <c r="D61" i="1"/>
  <c r="B62" i="1"/>
  <c r="C62" i="1"/>
  <c r="D62" i="1"/>
  <c r="B63" i="1"/>
  <c r="C63" i="1"/>
  <c r="D63" i="1"/>
  <c r="B64" i="1"/>
  <c r="C64" i="1"/>
  <c r="D64" i="1"/>
  <c r="B65" i="1"/>
  <c r="C65" i="1"/>
  <c r="D65" i="1"/>
  <c r="B66" i="1"/>
  <c r="C66" i="1"/>
  <c r="D66" i="1"/>
  <c r="B67" i="1"/>
  <c r="C67" i="1"/>
  <c r="D67" i="1"/>
  <c r="B68" i="1"/>
  <c r="C68" i="1"/>
  <c r="D68" i="1"/>
  <c r="B69" i="1"/>
  <c r="C69" i="1"/>
  <c r="D69" i="1"/>
  <c r="B70" i="1"/>
  <c r="C70" i="1"/>
  <c r="D70" i="1"/>
  <c r="B71" i="1"/>
  <c r="C71" i="1"/>
  <c r="D71" i="1"/>
  <c r="B72" i="1"/>
  <c r="C72" i="1"/>
  <c r="D72" i="1"/>
  <c r="B73" i="1"/>
  <c r="C73" i="1"/>
  <c r="D73" i="1"/>
  <c r="B74" i="1"/>
  <c r="C74" i="1"/>
  <c r="D74" i="1"/>
  <c r="B75" i="1"/>
  <c r="C75" i="1"/>
  <c r="D75" i="1"/>
  <c r="B76" i="1"/>
  <c r="C76" i="1"/>
  <c r="D76" i="1"/>
  <c r="B77" i="1"/>
  <c r="C77" i="1"/>
  <c r="D77" i="1"/>
  <c r="B78" i="1"/>
  <c r="C78" i="1"/>
  <c r="D78" i="1"/>
  <c r="B79" i="1"/>
  <c r="C79" i="1"/>
  <c r="D79" i="1"/>
  <c r="B80" i="1"/>
  <c r="C80" i="1"/>
  <c r="D80" i="1"/>
  <c r="B81" i="1"/>
  <c r="C81" i="1"/>
  <c r="D81" i="1"/>
  <c r="B82" i="1"/>
  <c r="C82" i="1"/>
  <c r="D82" i="1"/>
  <c r="B83" i="1"/>
  <c r="C83" i="1"/>
  <c r="D83" i="1"/>
  <c r="B84" i="1"/>
  <c r="C84" i="1"/>
  <c r="D84" i="1"/>
  <c r="B85" i="1"/>
  <c r="C85" i="1"/>
  <c r="D85" i="1"/>
  <c r="B86" i="1"/>
  <c r="C86" i="1"/>
  <c r="D86" i="1"/>
  <c r="B87" i="1"/>
  <c r="C87" i="1"/>
  <c r="D87" i="1"/>
  <c r="B88" i="1"/>
  <c r="C88" i="1"/>
  <c r="D88" i="1"/>
  <c r="B89" i="1"/>
  <c r="C89" i="1"/>
  <c r="D89" i="1"/>
  <c r="B90" i="1"/>
  <c r="C90" i="1"/>
  <c r="D90" i="1"/>
  <c r="B91" i="1"/>
  <c r="C91" i="1"/>
  <c r="D91" i="1"/>
  <c r="B92" i="1"/>
  <c r="C92" i="1"/>
  <c r="D92" i="1"/>
  <c r="B93" i="1"/>
  <c r="C93" i="1"/>
  <c r="D93" i="1"/>
  <c r="B94" i="1"/>
  <c r="C94" i="1"/>
  <c r="D94" i="1"/>
  <c r="B95" i="1"/>
  <c r="C95" i="1"/>
  <c r="D95" i="1"/>
  <c r="B96" i="1"/>
  <c r="C96" i="1"/>
  <c r="D96" i="1"/>
  <c r="B97" i="1"/>
  <c r="C97" i="1"/>
  <c r="D97" i="1"/>
  <c r="B98" i="1"/>
  <c r="C98" i="1"/>
  <c r="D98" i="1"/>
  <c r="B99" i="1"/>
  <c r="C99" i="1"/>
  <c r="D99" i="1"/>
  <c r="B100" i="1"/>
  <c r="C100" i="1"/>
  <c r="D100" i="1"/>
  <c r="B101" i="1"/>
  <c r="C101" i="1"/>
  <c r="D101" i="1"/>
  <c r="B102" i="1"/>
  <c r="C102" i="1"/>
  <c r="D102" i="1"/>
  <c r="B103" i="1"/>
  <c r="C103" i="1"/>
  <c r="D103" i="1"/>
  <c r="B104" i="1"/>
  <c r="C104" i="1"/>
  <c r="D104" i="1"/>
  <c r="B105" i="1"/>
  <c r="C105" i="1"/>
  <c r="D105" i="1"/>
  <c r="C6" i="1"/>
  <c r="D6" i="1"/>
  <c r="I28" i="1"/>
  <c r="I29" i="1"/>
  <c r="J28" i="1"/>
  <c r="J29" i="1"/>
  <c r="I45" i="1"/>
  <c r="I41" i="1"/>
  <c r="I46" i="1"/>
  <c r="B6" i="3"/>
  <c r="C6" i="3"/>
  <c r="D6" i="3"/>
  <c r="E6" i="3"/>
  <c r="B7" i="3"/>
  <c r="C7" i="3"/>
  <c r="D7" i="3"/>
  <c r="E7" i="3"/>
  <c r="B8" i="3"/>
  <c r="C8" i="3"/>
  <c r="D8" i="3"/>
  <c r="E8" i="3"/>
  <c r="B9" i="3"/>
  <c r="C9" i="3"/>
  <c r="D9" i="3"/>
  <c r="E9" i="3"/>
  <c r="B10" i="3"/>
  <c r="C10" i="3"/>
  <c r="D10" i="3"/>
  <c r="E10" i="3"/>
  <c r="B11" i="3"/>
  <c r="C11" i="3"/>
  <c r="D11" i="3"/>
  <c r="E11" i="3"/>
  <c r="B12" i="3"/>
  <c r="C12" i="3"/>
  <c r="D12" i="3"/>
  <c r="E12" i="3"/>
  <c r="B13" i="3"/>
  <c r="C13" i="3"/>
  <c r="D13" i="3"/>
  <c r="E13" i="3"/>
  <c r="B14" i="3"/>
  <c r="C14" i="3"/>
  <c r="D14" i="3"/>
  <c r="E14" i="3"/>
  <c r="I12" i="3"/>
  <c r="J12" i="3"/>
  <c r="I15" i="3"/>
  <c r="I24" i="3"/>
  <c r="I16" i="3"/>
  <c r="I22" i="3"/>
  <c r="I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35" i="3"/>
  <c r="C35" i="3"/>
  <c r="D35" i="3"/>
  <c r="E35" i="3"/>
  <c r="B36" i="3"/>
  <c r="C36" i="3"/>
  <c r="D36" i="3"/>
  <c r="E36" i="3"/>
  <c r="B37" i="3"/>
  <c r="C37" i="3"/>
  <c r="D37" i="3"/>
  <c r="E37" i="3"/>
  <c r="B38" i="3"/>
  <c r="C38" i="3"/>
  <c r="D38" i="3"/>
  <c r="E38" i="3"/>
  <c r="B39" i="3"/>
  <c r="C39" i="3"/>
  <c r="D39" i="3"/>
  <c r="E39" i="3"/>
  <c r="B40" i="3"/>
  <c r="C40" i="3"/>
  <c r="D40" i="3"/>
  <c r="E40" i="3"/>
  <c r="B41" i="3"/>
  <c r="C41" i="3"/>
  <c r="D41" i="3"/>
  <c r="E41" i="3"/>
  <c r="B42" i="3"/>
  <c r="C42" i="3"/>
  <c r="D42" i="3"/>
  <c r="E42" i="3"/>
  <c r="B43" i="3"/>
  <c r="C43" i="3"/>
  <c r="D43" i="3"/>
  <c r="E43" i="3"/>
  <c r="B44" i="3"/>
  <c r="C44" i="3"/>
  <c r="D44" i="3"/>
  <c r="E44" i="3"/>
  <c r="B45" i="3"/>
  <c r="C45" i="3"/>
  <c r="D45" i="3"/>
  <c r="E45" i="3"/>
  <c r="B46" i="3"/>
  <c r="C46" i="3"/>
  <c r="D46" i="3"/>
  <c r="E46" i="3"/>
  <c r="B47" i="3"/>
  <c r="C47" i="3"/>
  <c r="D47" i="3"/>
  <c r="E47" i="3"/>
  <c r="B48" i="3"/>
  <c r="C48" i="3"/>
  <c r="D48" i="3"/>
  <c r="E48" i="3"/>
  <c r="B49" i="3"/>
  <c r="C49" i="3"/>
  <c r="D49" i="3"/>
  <c r="E49" i="3"/>
  <c r="B50" i="3"/>
  <c r="C50" i="3"/>
  <c r="D50" i="3"/>
  <c r="E50" i="3"/>
  <c r="B51" i="3"/>
  <c r="C51" i="3"/>
  <c r="D51" i="3"/>
  <c r="E51" i="3"/>
  <c r="B52" i="3"/>
  <c r="C52" i="3"/>
  <c r="D52" i="3"/>
  <c r="E52" i="3"/>
  <c r="B53" i="3"/>
  <c r="C53" i="3"/>
  <c r="D53" i="3"/>
  <c r="E53" i="3"/>
  <c r="B54" i="3"/>
  <c r="C54" i="3"/>
  <c r="D54" i="3"/>
  <c r="E54" i="3"/>
  <c r="B55" i="3"/>
  <c r="C55" i="3"/>
  <c r="D55" i="3"/>
  <c r="E55" i="3"/>
  <c r="B56" i="3"/>
  <c r="C56" i="3"/>
  <c r="D56" i="3"/>
  <c r="E56" i="3"/>
  <c r="B57" i="3"/>
  <c r="C57" i="3"/>
  <c r="D57" i="3"/>
  <c r="E57" i="3"/>
  <c r="B58" i="3"/>
  <c r="C58" i="3"/>
  <c r="D58" i="3"/>
  <c r="E58" i="3"/>
  <c r="B59" i="3"/>
  <c r="C59" i="3"/>
  <c r="D59" i="3"/>
  <c r="E59" i="3"/>
  <c r="B60" i="3"/>
  <c r="C60" i="3"/>
  <c r="D60" i="3"/>
  <c r="E60" i="3"/>
  <c r="B61" i="3"/>
  <c r="C61" i="3"/>
  <c r="D61" i="3"/>
  <c r="E61" i="3"/>
  <c r="B62" i="3"/>
  <c r="C62" i="3"/>
  <c r="D62" i="3"/>
  <c r="E62" i="3"/>
  <c r="B63" i="3"/>
  <c r="C63" i="3"/>
  <c r="D63" i="3"/>
  <c r="E63" i="3"/>
  <c r="B64" i="3"/>
  <c r="C64" i="3"/>
  <c r="D64" i="3"/>
  <c r="E64" i="3"/>
  <c r="B65" i="3"/>
  <c r="C65" i="3"/>
  <c r="D65" i="3"/>
  <c r="E65" i="3"/>
  <c r="B66" i="3"/>
  <c r="C66" i="3"/>
  <c r="D66" i="3"/>
  <c r="E66" i="3"/>
  <c r="B67" i="3"/>
  <c r="C67" i="3"/>
  <c r="D67" i="3"/>
  <c r="E67" i="3"/>
  <c r="B68" i="3"/>
  <c r="C68" i="3"/>
  <c r="D68" i="3"/>
  <c r="E68" i="3"/>
  <c r="B69" i="3"/>
  <c r="C69" i="3"/>
  <c r="D69" i="3"/>
  <c r="E69" i="3"/>
  <c r="B70" i="3"/>
  <c r="C70" i="3"/>
  <c r="D70" i="3"/>
  <c r="E70" i="3"/>
  <c r="B71" i="3"/>
  <c r="C71" i="3"/>
  <c r="D71" i="3"/>
  <c r="E71" i="3"/>
  <c r="B72" i="3"/>
  <c r="C72" i="3"/>
  <c r="D72" i="3"/>
  <c r="E72" i="3"/>
  <c r="B73" i="3"/>
  <c r="C73" i="3"/>
  <c r="D73" i="3"/>
  <c r="E73" i="3"/>
  <c r="B74" i="3"/>
  <c r="C74" i="3"/>
  <c r="D74" i="3"/>
  <c r="E74" i="3"/>
  <c r="B75" i="3"/>
  <c r="C75" i="3"/>
  <c r="D75" i="3"/>
  <c r="E75" i="3"/>
  <c r="B76" i="3"/>
  <c r="C76" i="3"/>
  <c r="D76" i="3"/>
  <c r="E76" i="3"/>
  <c r="B77" i="3"/>
  <c r="C77" i="3"/>
  <c r="D77" i="3"/>
  <c r="E77" i="3"/>
  <c r="B78" i="3"/>
  <c r="C78" i="3"/>
  <c r="D78" i="3"/>
  <c r="E78" i="3"/>
  <c r="B79" i="3"/>
  <c r="C79" i="3"/>
  <c r="D79" i="3"/>
  <c r="E79" i="3"/>
  <c r="B80" i="3"/>
  <c r="C80" i="3"/>
  <c r="D80" i="3"/>
  <c r="E80" i="3"/>
  <c r="B81" i="3"/>
  <c r="C81" i="3"/>
  <c r="D81" i="3"/>
  <c r="E81" i="3"/>
  <c r="B82" i="3"/>
  <c r="C82" i="3"/>
  <c r="D82" i="3"/>
  <c r="E82" i="3"/>
  <c r="B83" i="3"/>
  <c r="C83" i="3"/>
  <c r="D83" i="3"/>
  <c r="E83" i="3"/>
  <c r="B84" i="3"/>
  <c r="C84" i="3"/>
  <c r="D84" i="3"/>
  <c r="E84" i="3"/>
  <c r="B85" i="3"/>
  <c r="C85" i="3"/>
  <c r="D85" i="3"/>
  <c r="E85" i="3"/>
  <c r="B86" i="3"/>
  <c r="C86" i="3"/>
  <c r="D86" i="3"/>
  <c r="E86" i="3"/>
  <c r="B87" i="3"/>
  <c r="C87" i="3"/>
  <c r="D87" i="3"/>
  <c r="E87" i="3"/>
  <c r="B88" i="3"/>
  <c r="C88" i="3"/>
  <c r="D88" i="3"/>
  <c r="E88" i="3"/>
  <c r="B89" i="3"/>
  <c r="C89" i="3"/>
  <c r="D89" i="3"/>
  <c r="E89" i="3"/>
  <c r="B90" i="3"/>
  <c r="C90" i="3"/>
  <c r="D90" i="3"/>
  <c r="E90" i="3"/>
  <c r="B91" i="3"/>
  <c r="C91" i="3"/>
  <c r="D91" i="3"/>
  <c r="E91" i="3"/>
  <c r="B92" i="3"/>
  <c r="C92" i="3"/>
  <c r="D92" i="3"/>
  <c r="E92" i="3"/>
  <c r="B93" i="3"/>
  <c r="C93" i="3"/>
  <c r="D93" i="3"/>
  <c r="E93" i="3"/>
  <c r="B94" i="3"/>
  <c r="C94" i="3"/>
  <c r="D94" i="3"/>
  <c r="E94" i="3"/>
  <c r="B95" i="3"/>
  <c r="C95" i="3"/>
  <c r="D95" i="3"/>
  <c r="E95" i="3"/>
  <c r="B96" i="3"/>
  <c r="C96" i="3"/>
  <c r="D96" i="3"/>
  <c r="E96" i="3"/>
  <c r="B97" i="3"/>
  <c r="C97" i="3"/>
  <c r="D97" i="3"/>
  <c r="E97" i="3"/>
  <c r="B98" i="3"/>
  <c r="C98" i="3"/>
  <c r="D98" i="3"/>
  <c r="E98" i="3"/>
  <c r="B99" i="3"/>
  <c r="C99" i="3"/>
  <c r="D99" i="3"/>
  <c r="E99" i="3"/>
  <c r="B100" i="3"/>
  <c r="C100" i="3"/>
  <c r="D100" i="3"/>
  <c r="E100" i="3"/>
  <c r="B101" i="3"/>
  <c r="C101" i="3"/>
  <c r="D101" i="3"/>
  <c r="E101" i="3"/>
  <c r="B102" i="3"/>
  <c r="C102" i="3"/>
  <c r="D102" i="3"/>
  <c r="E102" i="3"/>
  <c r="B103" i="3"/>
  <c r="C103" i="3"/>
  <c r="D103" i="3"/>
  <c r="E103" i="3"/>
  <c r="B104" i="3"/>
  <c r="C104" i="3"/>
  <c r="D104" i="3"/>
  <c r="E104" i="3"/>
  <c r="B105" i="3"/>
  <c r="C105" i="3"/>
  <c r="D105" i="3"/>
  <c r="E105" i="3"/>
  <c r="M33" i="1"/>
  <c r="M34" i="1"/>
  <c r="E13" i="1"/>
  <c r="I42" i="1"/>
  <c r="I44" i="1"/>
  <c r="E6" i="1"/>
  <c r="E7" i="1"/>
  <c r="E8" i="1"/>
  <c r="E9" i="1"/>
  <c r="E10" i="1"/>
  <c r="E11" i="1"/>
  <c r="E12" i="1"/>
  <c r="J21" i="1"/>
  <c r="E14" i="1"/>
  <c r="I21"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I30" i="1"/>
  <c r="I35" i="1"/>
  <c r="E15" i="1"/>
  <c r="E16" i="1"/>
  <c r="E17" i="1"/>
  <c r="E18" i="1"/>
  <c r="E19" i="1"/>
  <c r="E20" i="1"/>
  <c r="E21" i="1"/>
  <c r="E22" i="1"/>
  <c r="E23" i="1"/>
  <c r="E24" i="1"/>
  <c r="E25" i="1"/>
  <c r="E26" i="1"/>
  <c r="E27" i="1"/>
  <c r="E28" i="1"/>
  <c r="E29" i="1"/>
  <c r="E30" i="1"/>
  <c r="B6" i="21" l="1"/>
  <c r="Q6" i="17"/>
  <c r="Q8" i="17" s="1"/>
  <c r="Q7" i="17"/>
  <c r="U7" i="10"/>
  <c r="T7" i="10"/>
  <c r="S7" i="10"/>
  <c r="O4" i="14"/>
  <c r="N58" i="14" s="1"/>
  <c r="S4" i="10"/>
  <c r="T4" i="10"/>
  <c r="R4" i="10"/>
  <c r="O3" i="14"/>
  <c r="O10" i="14"/>
  <c r="O9" i="14"/>
  <c r="O11" i="14" s="1"/>
  <c r="O13" i="14" s="1"/>
  <c r="R29" i="14"/>
  <c r="R30" i="14" s="1"/>
  <c r="R31" i="14" s="1"/>
  <c r="Q4" i="17"/>
  <c r="R19" i="10" l="1"/>
  <c r="R15" i="10" s="1"/>
  <c r="Q9" i="17"/>
  <c r="S22" i="12" s="1"/>
  <c r="AF4" i="12" s="1"/>
  <c r="AF8" i="12" s="1"/>
  <c r="O6" i="14"/>
  <c r="F24" i="23"/>
  <c r="I23" i="23"/>
  <c r="K50" i="14"/>
  <c r="N55" i="14"/>
  <c r="O5" i="14"/>
  <c r="Q12" i="17"/>
  <c r="Q11" i="17"/>
  <c r="S15" i="10" l="1"/>
  <c r="S19" i="10"/>
  <c r="G6" i="21" s="1"/>
  <c r="G7" i="21" s="1"/>
  <c r="G8" i="21" s="1"/>
  <c r="L6" i="21" s="1"/>
  <c r="AE8" i="12" s="1"/>
  <c r="F23" i="23"/>
  <c r="F22" i="23"/>
  <c r="S22" i="23"/>
  <c r="Q13" i="17"/>
  <c r="U22" i="12" s="1"/>
  <c r="AM4" i="12" s="1"/>
  <c r="AM8" i="12" s="1"/>
  <c r="L7" i="21" l="1"/>
  <c r="L8" i="21" s="1"/>
  <c r="AL8" i="12" s="1"/>
  <c r="U22" i="23"/>
  <c r="T19" i="10" l="1"/>
  <c r="U19" i="10" l="1"/>
  <c r="B7" i="20"/>
  <c r="G2" i="21"/>
  <c r="T15" i="10"/>
  <c r="V19" i="10" l="1"/>
  <c r="AG8" i="12" s="1"/>
  <c r="Z8" i="12"/>
  <c r="G3" i="21"/>
  <c r="G4" i="21" s="1"/>
  <c r="L2" i="21" s="1"/>
  <c r="S20" i="23" s="1"/>
  <c r="E40" i="20"/>
  <c r="E33" i="20"/>
  <c r="E34" i="20" s="1"/>
  <c r="U15" i="10"/>
  <c r="V15" i="10"/>
  <c r="B6" i="20"/>
  <c r="E52" i="20" l="1"/>
  <c r="E58" i="20" s="1"/>
  <c r="AK8" i="12" s="1"/>
  <c r="E46" i="20"/>
  <c r="AD8" i="12" s="1"/>
  <c r="E39" i="20"/>
  <c r="E37" i="20"/>
  <c r="E38" i="20"/>
  <c r="E11" i="20"/>
  <c r="E4" i="20"/>
  <c r="E5" i="20" s="1"/>
  <c r="S20" i="12"/>
  <c r="AE4" i="12" s="1"/>
  <c r="L3" i="21"/>
  <c r="L4" i="21" s="1"/>
  <c r="U20" i="12" s="1"/>
  <c r="AL4" i="12" s="1"/>
  <c r="S10" i="12"/>
  <c r="Z4" i="12" s="1"/>
  <c r="S10" i="23"/>
  <c r="U10" i="12"/>
  <c r="AG4" i="12" s="1"/>
  <c r="U10" i="23"/>
  <c r="E51" i="20" l="1"/>
  <c r="E57" i="20" s="1"/>
  <c r="AJ8" i="12" s="1"/>
  <c r="E45" i="20"/>
  <c r="AC8" i="12" s="1"/>
  <c r="E43" i="20"/>
  <c r="AA8" i="12" s="1"/>
  <c r="E49" i="20"/>
  <c r="E55" i="20" s="1"/>
  <c r="AH8" i="12" s="1"/>
  <c r="E50" i="20"/>
  <c r="E56" i="20" s="1"/>
  <c r="AI8" i="12" s="1"/>
  <c r="E44" i="20"/>
  <c r="AB8" i="12" s="1"/>
  <c r="E9" i="20"/>
  <c r="E10" i="20"/>
  <c r="E8" i="20"/>
  <c r="E17" i="20"/>
  <c r="E23" i="20"/>
  <c r="E29" i="20" s="1"/>
  <c r="U20" i="23"/>
  <c r="AN8" i="12" l="1"/>
  <c r="E14" i="20"/>
  <c r="E20" i="20"/>
  <c r="E26" i="20" s="1"/>
  <c r="E22" i="20"/>
  <c r="E28" i="20" s="1"/>
  <c r="E16" i="20"/>
  <c r="E15" i="20"/>
  <c r="E21" i="20"/>
  <c r="E27" i="20" s="1"/>
  <c r="S18" i="12"/>
  <c r="AD4" i="12" s="1"/>
  <c r="S18" i="23"/>
  <c r="U18" i="23"/>
  <c r="U18" i="12"/>
  <c r="AK4" i="12" s="1"/>
  <c r="AA14" i="12" l="1"/>
  <c r="U32" i="12"/>
  <c r="AO8" i="12"/>
  <c r="AB14" i="12" s="1"/>
  <c r="S16" i="23"/>
  <c r="S16" i="12"/>
  <c r="AC4" i="12" s="1"/>
  <c r="S12" i="23"/>
  <c r="S12" i="12"/>
  <c r="AA4" i="12" s="1"/>
  <c r="U14" i="23"/>
  <c r="U14" i="12"/>
  <c r="AI4" i="12" s="1"/>
  <c r="U16" i="12"/>
  <c r="AJ4" i="12" s="1"/>
  <c r="U16" i="23"/>
  <c r="U12" i="12"/>
  <c r="AH4" i="12" s="1"/>
  <c r="U12" i="23"/>
  <c r="S14" i="23"/>
  <c r="S14" i="12"/>
  <c r="AB4" i="12" s="1"/>
  <c r="U24" i="23" l="1"/>
  <c r="U26" i="23" s="1"/>
  <c r="U24" i="12"/>
  <c r="AN4" i="12" s="1"/>
  <c r="U26" i="12" l="1"/>
  <c r="AO4" i="12" s="1"/>
</calcChain>
</file>

<file path=xl/comments1.xml><?xml version="1.0" encoding="utf-8"?>
<comments xmlns="http://schemas.openxmlformats.org/spreadsheetml/2006/main">
  <authors>
    <author>Tsubasa Iwabuchi</author>
  </authors>
  <commentList>
    <comment ref="I1742" authorId="0" shapeId="0">
      <text>
        <r>
          <rPr>
            <sz val="9"/>
            <color indexed="81"/>
            <rFont val="ＭＳ Ｐゴシック"/>
            <family val="3"/>
            <charset val="128"/>
          </rPr>
          <t>沖永良部の値を使用</t>
        </r>
      </text>
    </comment>
    <comment ref="J1742" authorId="0" shapeId="0">
      <text>
        <r>
          <rPr>
            <sz val="9"/>
            <color indexed="81"/>
            <rFont val="ＭＳ Ｐゴシック"/>
            <family val="3"/>
            <charset val="128"/>
          </rPr>
          <t>沖永良部の値を使用</t>
        </r>
      </text>
    </comment>
    <comment ref="I1743" authorId="0" shapeId="0">
      <text>
        <r>
          <rPr>
            <sz val="9"/>
            <color indexed="81"/>
            <rFont val="ＭＳ Ｐゴシック"/>
            <family val="3"/>
            <charset val="128"/>
          </rPr>
          <t>沖永良部の値を使用</t>
        </r>
      </text>
    </comment>
    <comment ref="J1743" authorId="0" shapeId="0">
      <text>
        <r>
          <rPr>
            <sz val="9"/>
            <color indexed="81"/>
            <rFont val="ＭＳ Ｐゴシック"/>
            <family val="3"/>
            <charset val="128"/>
          </rPr>
          <t>沖永良部の値を使用</t>
        </r>
      </text>
    </comment>
    <comment ref="I1744" authorId="0" shapeId="0">
      <text>
        <r>
          <rPr>
            <sz val="9"/>
            <color indexed="81"/>
            <rFont val="ＭＳ Ｐゴシック"/>
            <family val="3"/>
            <charset val="128"/>
          </rPr>
          <t>沖永良部の値を使用</t>
        </r>
      </text>
    </comment>
    <comment ref="J1744" authorId="0" shapeId="0">
      <text>
        <r>
          <rPr>
            <sz val="9"/>
            <color indexed="81"/>
            <rFont val="ＭＳ Ｐゴシック"/>
            <family val="3"/>
            <charset val="128"/>
          </rPr>
          <t>沖永良部の値を使用</t>
        </r>
      </text>
    </comment>
    <comment ref="I1745" authorId="0" shapeId="0">
      <text>
        <r>
          <rPr>
            <sz val="9"/>
            <color indexed="81"/>
            <rFont val="ＭＳ Ｐゴシック"/>
            <family val="3"/>
            <charset val="128"/>
          </rPr>
          <t>沖永良部の値を使用</t>
        </r>
      </text>
    </comment>
    <comment ref="J1745" authorId="0" shapeId="0">
      <text>
        <r>
          <rPr>
            <sz val="9"/>
            <color indexed="81"/>
            <rFont val="ＭＳ Ｐゴシック"/>
            <family val="3"/>
            <charset val="128"/>
          </rPr>
          <t>沖永良部の値を使用</t>
        </r>
      </text>
    </comment>
    <comment ref="I1746" authorId="0" shapeId="0">
      <text>
        <r>
          <rPr>
            <sz val="9"/>
            <color indexed="81"/>
            <rFont val="ＭＳ Ｐゴシック"/>
            <family val="3"/>
            <charset val="128"/>
          </rPr>
          <t>沖永良部の値を使用</t>
        </r>
      </text>
    </comment>
    <comment ref="J1746" authorId="0" shapeId="0">
      <text>
        <r>
          <rPr>
            <sz val="9"/>
            <color indexed="81"/>
            <rFont val="ＭＳ Ｐゴシック"/>
            <family val="3"/>
            <charset val="128"/>
          </rPr>
          <t>沖永良部の値を使用</t>
        </r>
      </text>
    </comment>
    <comment ref="I1747" authorId="0" shapeId="0">
      <text>
        <r>
          <rPr>
            <sz val="9"/>
            <color indexed="81"/>
            <rFont val="ＭＳ Ｐゴシック"/>
            <family val="3"/>
            <charset val="128"/>
          </rPr>
          <t>沖永良部の値を使用</t>
        </r>
      </text>
    </comment>
    <comment ref="J1747" authorId="0" shapeId="0">
      <text>
        <r>
          <rPr>
            <sz val="9"/>
            <color indexed="81"/>
            <rFont val="ＭＳ Ｐゴシック"/>
            <family val="3"/>
            <charset val="128"/>
          </rPr>
          <t>沖永良部の値を使用</t>
        </r>
      </text>
    </comment>
    <comment ref="I1748" authorId="0" shapeId="0">
      <text>
        <r>
          <rPr>
            <sz val="9"/>
            <color indexed="81"/>
            <rFont val="ＭＳ Ｐゴシック"/>
            <family val="3"/>
            <charset val="128"/>
          </rPr>
          <t>沖永良部の値を使用</t>
        </r>
      </text>
    </comment>
    <comment ref="J1748" authorId="0" shapeId="0">
      <text>
        <r>
          <rPr>
            <sz val="9"/>
            <color indexed="81"/>
            <rFont val="ＭＳ Ｐゴシック"/>
            <family val="3"/>
            <charset val="128"/>
          </rPr>
          <t>沖永良部の値を使用</t>
        </r>
      </text>
    </comment>
    <comment ref="I1749" authorId="0" shapeId="0">
      <text>
        <r>
          <rPr>
            <sz val="9"/>
            <color indexed="81"/>
            <rFont val="ＭＳ Ｐゴシック"/>
            <family val="3"/>
            <charset val="128"/>
          </rPr>
          <t>沖永良部の値を使用</t>
        </r>
      </text>
    </comment>
    <comment ref="J1749" authorId="0" shapeId="0">
      <text>
        <r>
          <rPr>
            <sz val="9"/>
            <color indexed="81"/>
            <rFont val="ＭＳ Ｐゴシック"/>
            <family val="3"/>
            <charset val="128"/>
          </rPr>
          <t>沖永良部の値を使用</t>
        </r>
      </text>
    </comment>
    <comment ref="I1750" authorId="0" shapeId="0">
      <text>
        <r>
          <rPr>
            <sz val="9"/>
            <color indexed="81"/>
            <rFont val="ＭＳ Ｐゴシック"/>
            <family val="3"/>
            <charset val="128"/>
          </rPr>
          <t>沖永良部の値を使用</t>
        </r>
      </text>
    </comment>
    <comment ref="J1750" authorId="0" shapeId="0">
      <text>
        <r>
          <rPr>
            <sz val="9"/>
            <color indexed="81"/>
            <rFont val="ＭＳ Ｐゴシック"/>
            <family val="3"/>
            <charset val="128"/>
          </rPr>
          <t>沖永良部の値を使用</t>
        </r>
      </text>
    </comment>
    <comment ref="I1751" authorId="0" shapeId="0">
      <text>
        <r>
          <rPr>
            <sz val="9"/>
            <color indexed="81"/>
            <rFont val="ＭＳ Ｐゴシック"/>
            <family val="3"/>
            <charset val="128"/>
          </rPr>
          <t>沖永良部の値を使用</t>
        </r>
      </text>
    </comment>
    <comment ref="J1751" authorId="0" shapeId="0">
      <text>
        <r>
          <rPr>
            <sz val="9"/>
            <color indexed="81"/>
            <rFont val="ＭＳ Ｐゴシック"/>
            <family val="3"/>
            <charset val="128"/>
          </rPr>
          <t>沖永良部の値を使用</t>
        </r>
      </text>
    </comment>
    <comment ref="I1752" authorId="0" shapeId="0">
      <text>
        <r>
          <rPr>
            <sz val="9"/>
            <color indexed="81"/>
            <rFont val="ＭＳ Ｐゴシック"/>
            <family val="3"/>
            <charset val="128"/>
          </rPr>
          <t>沖永良部の値を使用</t>
        </r>
      </text>
    </comment>
    <comment ref="J1752" authorId="0" shapeId="0">
      <text>
        <r>
          <rPr>
            <sz val="9"/>
            <color indexed="81"/>
            <rFont val="ＭＳ Ｐゴシック"/>
            <family val="3"/>
            <charset val="128"/>
          </rPr>
          <t>沖永良部の値を使用</t>
        </r>
      </text>
    </comment>
    <comment ref="I1753" authorId="0" shapeId="0">
      <text>
        <r>
          <rPr>
            <sz val="9"/>
            <color indexed="81"/>
            <rFont val="ＭＳ Ｐゴシック"/>
            <family val="3"/>
            <charset val="128"/>
          </rPr>
          <t>沖永良部の値を使用</t>
        </r>
      </text>
    </comment>
    <comment ref="J1753" authorId="0" shapeId="0">
      <text>
        <r>
          <rPr>
            <sz val="9"/>
            <color indexed="81"/>
            <rFont val="ＭＳ Ｐゴシック"/>
            <family val="3"/>
            <charset val="128"/>
          </rPr>
          <t>沖永良部の値を使用</t>
        </r>
      </text>
    </comment>
  </commentList>
</comments>
</file>

<file path=xl/sharedStrings.xml><?xml version="1.0" encoding="utf-8"?>
<sst xmlns="http://schemas.openxmlformats.org/spreadsheetml/2006/main" count="8328" uniqueCount="1318">
  <si>
    <t>A</t>
    <phoneticPr fontId="18"/>
  </si>
  <si>
    <t>k</t>
    <phoneticPr fontId="18"/>
  </si>
  <si>
    <t>m</t>
    <phoneticPr fontId="18"/>
  </si>
  <si>
    <r>
      <t>R</t>
    </r>
    <r>
      <rPr>
        <vertAlign val="superscript"/>
        <sz val="12"/>
        <color theme="1"/>
        <rFont val="ＭＳ Ｐゴシック"/>
        <family val="3"/>
        <charset val="128"/>
        <scheme val="minor"/>
      </rPr>
      <t>2</t>
    </r>
    <phoneticPr fontId="18"/>
  </si>
  <si>
    <t>林齢</t>
    <rPh sb="0" eb="2">
      <t>リンレイ</t>
    </rPh>
    <phoneticPr fontId="18"/>
  </si>
  <si>
    <t>乾材積(m3/ha)</t>
    <rPh sb="0" eb="3">
      <t>カンザイセキ</t>
    </rPh>
    <phoneticPr fontId="18"/>
  </si>
  <si>
    <t>その他広葉樹</t>
    <rPh sb="2" eb="3">
      <t>タ</t>
    </rPh>
    <rPh sb="3" eb="6">
      <t>コウヨウジュ</t>
    </rPh>
    <phoneticPr fontId="18"/>
  </si>
  <si>
    <t>林齢≦20</t>
    <rPh sb="0" eb="2">
      <t>リンレイ</t>
    </rPh>
    <phoneticPr fontId="18"/>
  </si>
  <si>
    <t>林齢＞20</t>
    <rPh sb="0" eb="2">
      <t>リンレイ</t>
    </rPh>
    <phoneticPr fontId="18"/>
  </si>
  <si>
    <t>R</t>
    <phoneticPr fontId="18"/>
  </si>
  <si>
    <t>D</t>
    <phoneticPr fontId="18"/>
  </si>
  <si>
    <t>炭素含有率</t>
    <rPh sb="0" eb="5">
      <t>タンソガンユウリツ</t>
    </rPh>
    <phoneticPr fontId="18"/>
  </si>
  <si>
    <t>拡大係数（BEF）</t>
    <rPh sb="0" eb="4">
      <t>カクダイケイスウ</t>
    </rPh>
    <phoneticPr fontId="18"/>
  </si>
  <si>
    <t>吸収量(t-C/ha/yr)</t>
    <rPh sb="0" eb="3">
      <t>キュウシュウリョウ</t>
    </rPh>
    <phoneticPr fontId="18"/>
  </si>
  <si>
    <t>吸収量(kg-CO2/m2/yr)</t>
    <rPh sb="0" eb="3">
      <t>キュウシュウリョウ</t>
    </rPh>
    <phoneticPr fontId="18"/>
  </si>
  <si>
    <t>9年生樹林(2006)</t>
    <rPh sb="1" eb="3">
      <t>ネンセイ</t>
    </rPh>
    <rPh sb="3" eb="5">
      <t>ジュリン</t>
    </rPh>
    <phoneticPr fontId="18"/>
  </si>
  <si>
    <t>7年生樹林(2008)</t>
    <rPh sb="1" eb="3">
      <t>ネンセイ</t>
    </rPh>
    <rPh sb="3" eb="5">
      <t>ジュリン</t>
    </rPh>
    <phoneticPr fontId="18"/>
  </si>
  <si>
    <t>累積吸収量(kg-CO2/m2)</t>
    <rPh sb="0" eb="2">
      <t>ルイセキ</t>
    </rPh>
    <rPh sb="2" eb="5">
      <t>キュウシュウリョウ</t>
    </rPh>
    <phoneticPr fontId="18"/>
  </si>
  <si>
    <t>面積</t>
    <rPh sb="0" eb="2">
      <t>メンセキ</t>
    </rPh>
    <phoneticPr fontId="18"/>
  </si>
  <si>
    <t>平均樹冠面積あたり吸収量(kg-C/ha/yr)</t>
    <rPh sb="0" eb="2">
      <t>ヘイキン</t>
    </rPh>
    <rPh sb="2" eb="6">
      <t>ジュカン</t>
    </rPh>
    <rPh sb="9" eb="12">
      <t>キュウシュウリョウ</t>
    </rPh>
    <phoneticPr fontId="18"/>
  </si>
  <si>
    <t>平均樹冠面積あたり吸収量(kg-CO2/m3/yr)</t>
    <rPh sb="0" eb="2">
      <t>ヘイキン</t>
    </rPh>
    <rPh sb="2" eb="6">
      <t>ジュカン</t>
    </rPh>
    <rPh sb="9" eb="12">
      <t>キュウシュウリョウ</t>
    </rPh>
    <phoneticPr fontId="18"/>
  </si>
  <si>
    <t>b(初期値)</t>
    <rPh sb="2" eb="5">
      <t>ショキチ</t>
    </rPh>
    <phoneticPr fontId="18"/>
  </si>
  <si>
    <t>年間吸収量(kg-CO2/m2/yr)</t>
    <rPh sb="0" eb="2">
      <t>ネンカンキュウシュウリョウ</t>
    </rPh>
    <rPh sb="2" eb="5">
      <t>キュウシュウリョウ</t>
    </rPh>
    <phoneticPr fontId="18"/>
  </si>
  <si>
    <t>乾材積増加量(m3/ha)</t>
    <rPh sb="0" eb="6">
      <t>カンザイセキゾウカリョウ</t>
    </rPh>
    <phoneticPr fontId="18"/>
  </si>
  <si>
    <t>※愛知県の広葉樹林を仮定</t>
    <rPh sb="1" eb="4">
      <t>アイチケン</t>
    </rPh>
    <rPh sb="5" eb="9">
      <t>コウヨウジュリン</t>
    </rPh>
    <rPh sb="10" eb="12">
      <t>カテイ</t>
    </rPh>
    <phoneticPr fontId="18"/>
  </si>
  <si>
    <t>①収穫表</t>
    <rPh sb="1" eb="4">
      <t>シュウカクヒョウ</t>
    </rPh>
    <phoneticPr fontId="18"/>
  </si>
  <si>
    <t>３つの計算手法による試算（①収穫表、②ECO35方式、③市村2006)</t>
    <rPh sb="3" eb="7">
      <t>ケイサンシュホウ</t>
    </rPh>
    <rPh sb="10" eb="12">
      <t>シサン</t>
    </rPh>
    <rPh sb="14" eb="17">
      <t>シュウカクヒョウ</t>
    </rPh>
    <rPh sb="24" eb="26">
      <t>ホウシキ</t>
    </rPh>
    <rPh sb="28" eb="30">
      <t>イチムラ</t>
    </rPh>
    <phoneticPr fontId="18"/>
  </si>
  <si>
    <t>愛知県</t>
    <rPh sb="0" eb="2">
      <t>アイチ</t>
    </rPh>
    <rPh sb="2" eb="3">
      <t>ケン</t>
    </rPh>
    <phoneticPr fontId="18"/>
  </si>
  <si>
    <t>①収穫表による試算値</t>
    <rPh sb="1" eb="4">
      <t>シュウカクヒョウ</t>
    </rPh>
    <rPh sb="7" eb="10">
      <t>シサンチ</t>
    </rPh>
    <phoneticPr fontId="18"/>
  </si>
  <si>
    <t>7年生までの平均値</t>
    <rPh sb="1" eb="3">
      <t>ネンセイ</t>
    </rPh>
    <rPh sb="6" eb="9">
      <t>ヘイキンチ</t>
    </rPh>
    <phoneticPr fontId="18"/>
  </si>
  <si>
    <t>地上部・地下部比を①と同じ0.26と仮定(kg-CO2/m2/yr)</t>
    <rPh sb="0" eb="3">
      <t>チジョウブ</t>
    </rPh>
    <rPh sb="4" eb="8">
      <t>チカブヒ</t>
    </rPh>
    <rPh sb="11" eb="12">
      <t>オナ</t>
    </rPh>
    <rPh sb="18" eb="20">
      <t>カテイ</t>
    </rPh>
    <phoneticPr fontId="18"/>
  </si>
  <si>
    <t>②ECO35方式(コドラート調査)(宮内 2007)</t>
    <rPh sb="6" eb="8">
      <t>ホウシキ</t>
    </rPh>
    <rPh sb="14" eb="16">
      <t>チョウサ</t>
    </rPh>
    <rPh sb="18" eb="20">
      <t>ミヤウチ</t>
    </rPh>
    <phoneticPr fontId="18"/>
  </si>
  <si>
    <t>③市村2006の都市林の吸収量推定</t>
    <rPh sb="1" eb="3">
      <t>イチムラ</t>
    </rPh>
    <rPh sb="8" eb="11">
      <t>トシリン</t>
    </rPh>
    <rPh sb="12" eb="15">
      <t>キュウシュウリョウ</t>
    </rPh>
    <rPh sb="15" eb="17">
      <t>スイテイ</t>
    </rPh>
    <phoneticPr fontId="18"/>
  </si>
  <si>
    <t>9年生までの平均値</t>
    <rPh sb="1" eb="2">
      <t>ネン</t>
    </rPh>
    <rPh sb="2" eb="3">
      <t>セイ</t>
    </rPh>
    <rPh sb="6" eb="9">
      <t>ヘイキンチ</t>
    </rPh>
    <phoneticPr fontId="18"/>
  </si>
  <si>
    <t>①収穫表用パラメータ２(林野庁）</t>
    <rPh sb="1" eb="4">
      <t>シュウ</t>
    </rPh>
    <rPh sb="4" eb="5">
      <t>ヨウ</t>
    </rPh>
    <rPh sb="12" eb="15">
      <t>リンヤチョウ</t>
    </rPh>
    <phoneticPr fontId="18"/>
  </si>
  <si>
    <t>①収穫表用パラメータ１
(吉田・松下 1999 森林計画誌.pdfの広葉樹)</t>
    <rPh sb="1" eb="4">
      <t>シュウカクヒョウ</t>
    </rPh>
    <rPh sb="4" eb="5">
      <t>ヨウ</t>
    </rPh>
    <phoneticPr fontId="18"/>
  </si>
  <si>
    <t>ECO35吸収量(面積重み付け平均)(kg-CO2/m2/yr)</t>
    <rPh sb="5" eb="8">
      <t>キュウシュウリョウ</t>
    </rPh>
    <rPh sb="9" eb="11">
      <t>メンセキ</t>
    </rPh>
    <rPh sb="11" eb="12">
      <t>オモ</t>
    </rPh>
    <rPh sb="13" eb="14">
      <t>ヅ</t>
    </rPh>
    <rPh sb="15" eb="17">
      <t>ヘイキン</t>
    </rPh>
    <phoneticPr fontId="18"/>
  </si>
  <si>
    <t>J-VER炭素価格(2013)</t>
    <rPh sb="5" eb="9">
      <t>タンソカカク</t>
    </rPh>
    <phoneticPr fontId="18"/>
  </si>
  <si>
    <t>円/t-CO2</t>
    <rPh sb="0" eb="1">
      <t>エン</t>
    </rPh>
    <phoneticPr fontId="18"/>
  </si>
  <si>
    <t>円/kg-CO2</t>
    <rPh sb="0" eb="1">
      <t>エン</t>
    </rPh>
    <phoneticPr fontId="18"/>
  </si>
  <si>
    <t>経済価値試算</t>
    <rPh sb="0" eb="4">
      <t>ケイザイカチ</t>
    </rPh>
    <rPh sb="4" eb="6">
      <t>シサン</t>
    </rPh>
    <phoneticPr fontId="18"/>
  </si>
  <si>
    <t>トヨタ堤工場・植林面積</t>
    <rPh sb="3" eb="6">
      <t>ツツミコウジョウ</t>
    </rPh>
    <rPh sb="7" eb="11">
      <t>ショクリンメンセキ</t>
    </rPh>
    <phoneticPr fontId="18"/>
  </si>
  <si>
    <t>m2</t>
    <phoneticPr fontId="18"/>
  </si>
  <si>
    <t>面積あたり吸収量（8年生←トヨタ堤工場)</t>
    <rPh sb="0" eb="2">
      <t>メンセキ</t>
    </rPh>
    <rPh sb="5" eb="8">
      <t>キュウシュウリョウ</t>
    </rPh>
    <rPh sb="10" eb="12">
      <t>ネンセイ</t>
    </rPh>
    <rPh sb="16" eb="19">
      <t>ツツミコウジョウ</t>
    </rPh>
    <phoneticPr fontId="18"/>
  </si>
  <si>
    <t>kg-CO2/m2/yr</t>
    <phoneticPr fontId="18"/>
  </si>
  <si>
    <t>CO2吸収年間経済価値</t>
    <rPh sb="3" eb="5">
      <t>キュウシュウ</t>
    </rPh>
    <rPh sb="5" eb="11">
      <t>ネンカンケイザイカチ</t>
    </rPh>
    <phoneticPr fontId="18"/>
  </si>
  <si>
    <t>円/yr</t>
    <rPh sb="0" eb="1">
      <t>エン</t>
    </rPh>
    <phoneticPr fontId="18"/>
  </si>
  <si>
    <t>数値</t>
    <rPh sb="0" eb="2">
      <t>スウチ</t>
    </rPh>
    <phoneticPr fontId="18"/>
  </si>
  <si>
    <t>単位</t>
    <rPh sb="0" eb="2">
      <t>タンイ</t>
    </rPh>
    <phoneticPr fontId="18"/>
  </si>
  <si>
    <t>NO2</t>
    <phoneticPr fontId="18"/>
  </si>
  <si>
    <t>吸収費用原単位</t>
    <rPh sb="0" eb="4">
      <t>キュウシュウヒヨウ</t>
    </rPh>
    <rPh sb="4" eb="7">
      <t>ゲンタンイ</t>
    </rPh>
    <phoneticPr fontId="18"/>
  </si>
  <si>
    <t>円/t-NO2</t>
    <rPh sb="0" eb="1">
      <t>エン</t>
    </rPh>
    <phoneticPr fontId="18"/>
  </si>
  <si>
    <t>SO2</t>
    <phoneticPr fontId="18"/>
  </si>
  <si>
    <t>円/t-SO2</t>
    <rPh sb="0" eb="1">
      <t>エン</t>
    </rPh>
    <phoneticPr fontId="18"/>
  </si>
  <si>
    <t>t/ha</t>
    <phoneticPr fontId="18"/>
  </si>
  <si>
    <t>t-CO2/ha</t>
    <phoneticPr fontId="18"/>
  </si>
  <si>
    <t xml:space="preserve">純生産量(Pn) = </t>
    <rPh sb="0" eb="4">
      <t>ジュンセイサンリョウ</t>
    </rPh>
    <phoneticPr fontId="18"/>
  </si>
  <si>
    <r>
      <t>※ 重量比: 6CO</t>
    </r>
    <r>
      <rPr>
        <vertAlign val="subscript"/>
        <sz val="12"/>
        <color theme="1"/>
        <rFont val="ＭＳ Ｐゴシック"/>
        <family val="3"/>
        <charset val="128"/>
        <scheme val="minor"/>
      </rPr>
      <t>2</t>
    </r>
    <r>
      <rPr>
        <sz val="12"/>
        <color theme="1"/>
        <rFont val="ＭＳ Ｐゴシック"/>
        <family val="2"/>
        <charset val="128"/>
        <scheme val="minor"/>
      </rPr>
      <t>/C</t>
    </r>
    <r>
      <rPr>
        <vertAlign val="subscript"/>
        <sz val="12"/>
        <color theme="1"/>
        <rFont val="ＭＳ Ｐゴシック"/>
        <family val="3"/>
        <charset val="128"/>
        <scheme val="minor"/>
      </rPr>
      <t>6</t>
    </r>
    <r>
      <rPr>
        <sz val="12"/>
        <color theme="1"/>
        <rFont val="ＭＳ Ｐゴシック"/>
        <family val="2"/>
        <charset val="128"/>
        <scheme val="minor"/>
      </rPr>
      <t>H</t>
    </r>
    <r>
      <rPr>
        <vertAlign val="subscript"/>
        <sz val="12"/>
        <color theme="1"/>
        <rFont val="ＭＳ Ｐゴシック"/>
        <family val="3"/>
        <charset val="128"/>
        <scheme val="minor"/>
      </rPr>
      <t>12</t>
    </r>
    <r>
      <rPr>
        <sz val="12"/>
        <color theme="1"/>
        <rFont val="ＭＳ Ｐゴシック"/>
        <family val="2"/>
        <charset val="128"/>
        <scheme val="minor"/>
      </rPr>
      <t>O</t>
    </r>
    <r>
      <rPr>
        <vertAlign val="subscript"/>
        <sz val="12"/>
        <color theme="1"/>
        <rFont val="ＭＳ Ｐゴシック"/>
        <family val="3"/>
        <charset val="128"/>
        <scheme val="minor"/>
      </rPr>
      <t>6</t>
    </r>
    <r>
      <rPr>
        <sz val="12"/>
        <color theme="1"/>
        <rFont val="ＭＳ Ｐゴシック"/>
        <family val="2"/>
        <charset val="128"/>
        <scheme val="minor"/>
      </rPr>
      <t xml:space="preserve"> = 1.63</t>
    </r>
    <rPh sb="2" eb="5">
      <t>ジュウリョウヒ</t>
    </rPh>
    <phoneticPr fontId="18"/>
  </si>
  <si>
    <t>総生産量(Pg) (t/ha) =</t>
    <rPh sb="0" eb="4">
      <t>ソウセイサンリョウ</t>
    </rPh>
    <phoneticPr fontId="18"/>
  </si>
  <si>
    <t>純生産量(Pn) (t/ha) =</t>
    <rPh sb="0" eb="4">
      <t>ジュンセイサン</t>
    </rPh>
    <phoneticPr fontId="18"/>
  </si>
  <si>
    <t>吸収量 (t/ha) ÷ 1.63</t>
    <rPh sb="0" eb="3">
      <t>キュウシュウリョウ</t>
    </rPh>
    <phoneticPr fontId="18"/>
  </si>
  <si>
    <t>Pn ÷</t>
    <phoneticPr fontId="18"/>
  </si>
  <si>
    <t>広葉樹（落葉）</t>
    <rPh sb="0" eb="3">
      <t>コウヨウジュ</t>
    </rPh>
    <rPh sb="4" eb="6">
      <t>ラクヨウ</t>
    </rPh>
    <phoneticPr fontId="18"/>
  </si>
  <si>
    <t>広葉樹（常緑）、針葉樹</t>
    <rPh sb="0" eb="3">
      <t>コウヨウジュ</t>
    </rPh>
    <rPh sb="4" eb="6">
      <t>ジョウリョク</t>
    </rPh>
    <rPh sb="8" eb="11">
      <t>シンヨウジュ</t>
    </rPh>
    <phoneticPr fontId="18"/>
  </si>
  <si>
    <r>
      <rPr>
        <i/>
        <sz val="12"/>
        <color theme="1"/>
        <rFont val="ＭＳ Ｐゴシック"/>
        <family val="3"/>
        <charset val="128"/>
        <scheme val="minor"/>
      </rPr>
      <t>Ｕ</t>
    </r>
    <r>
      <rPr>
        <vertAlign val="subscript"/>
        <sz val="12"/>
        <color theme="1"/>
        <rFont val="ＭＳ Ｐゴシック"/>
        <family val="3"/>
        <charset val="128"/>
        <scheme val="minor"/>
      </rPr>
      <t>NO2</t>
    </r>
    <r>
      <rPr>
        <sz val="12"/>
        <color theme="1"/>
        <rFont val="ＭＳ Ｐゴシック"/>
        <family val="2"/>
        <charset val="128"/>
        <scheme val="minor"/>
      </rPr>
      <t>(NO</t>
    </r>
    <r>
      <rPr>
        <vertAlign val="subscript"/>
        <sz val="12"/>
        <color theme="1"/>
        <rFont val="ＭＳ Ｐゴシック"/>
        <family val="3"/>
        <charset val="128"/>
        <scheme val="minor"/>
      </rPr>
      <t>2</t>
    </r>
    <r>
      <rPr>
        <sz val="12"/>
        <color theme="1"/>
        <rFont val="ＭＳ Ｐゴシック"/>
        <family val="2"/>
        <charset val="128"/>
        <scheme val="minor"/>
      </rPr>
      <t>吸収量)＝15.5×Ｃ</t>
    </r>
    <r>
      <rPr>
        <vertAlign val="subscript"/>
        <sz val="12"/>
        <color theme="1"/>
        <rFont val="ＭＳ Ｐゴシック"/>
        <family val="3"/>
        <charset val="128"/>
        <scheme val="minor"/>
      </rPr>
      <t>NO2</t>
    </r>
    <r>
      <rPr>
        <sz val="12"/>
        <color theme="1"/>
        <rFont val="ＭＳ Ｐゴシック"/>
        <family val="2"/>
        <charset val="128"/>
        <scheme val="minor"/>
      </rPr>
      <t>(濃度)×Pg (総生産量)</t>
    </r>
    <phoneticPr fontId="18"/>
  </si>
  <si>
    <r>
      <rPr>
        <i/>
        <sz val="12"/>
        <color theme="1"/>
        <rFont val="ＭＳ Ｐゴシック"/>
        <family val="3"/>
        <charset val="128"/>
        <scheme val="minor"/>
      </rPr>
      <t>Ｕ</t>
    </r>
    <r>
      <rPr>
        <vertAlign val="subscript"/>
        <sz val="12"/>
        <color theme="1"/>
        <rFont val="ＭＳ Ｐゴシック"/>
        <family val="3"/>
        <charset val="128"/>
        <scheme val="minor"/>
      </rPr>
      <t>SO2</t>
    </r>
    <r>
      <rPr>
        <sz val="12"/>
        <color theme="1"/>
        <rFont val="ＭＳ Ｐゴシック"/>
        <family val="2"/>
        <charset val="128"/>
        <scheme val="minor"/>
      </rPr>
      <t>(SO</t>
    </r>
    <r>
      <rPr>
        <vertAlign val="subscript"/>
        <sz val="12"/>
        <color theme="1"/>
        <rFont val="ＭＳ Ｐゴシック"/>
        <family val="3"/>
        <charset val="128"/>
        <scheme val="minor"/>
      </rPr>
      <t>2</t>
    </r>
    <r>
      <rPr>
        <sz val="12"/>
        <color theme="1"/>
        <rFont val="ＭＳ Ｐゴシック"/>
        <family val="2"/>
        <charset val="128"/>
        <scheme val="minor"/>
      </rPr>
      <t>吸収量)＝20.7×Ｃ</t>
    </r>
    <r>
      <rPr>
        <vertAlign val="subscript"/>
        <sz val="12"/>
        <color theme="1"/>
        <rFont val="ＭＳ Ｐゴシック"/>
        <family val="3"/>
        <charset val="128"/>
        <scheme val="minor"/>
      </rPr>
      <t>SO2</t>
    </r>
    <r>
      <rPr>
        <sz val="12"/>
        <color theme="1"/>
        <rFont val="ＭＳ Ｐゴシック"/>
        <family val="2"/>
        <charset val="128"/>
        <scheme val="minor"/>
      </rPr>
      <t>(濃度)×Pg (総生産量)</t>
    </r>
    <phoneticPr fontId="18"/>
  </si>
  <si>
    <t>最新のNO2/SO2濃度を入手</t>
    <rPh sb="0" eb="2">
      <t>サイシン</t>
    </rPh>
    <rPh sb="10" eb="12">
      <t>ノウド</t>
    </rPh>
    <rPh sb="13" eb="15">
      <t>ニュウシュ</t>
    </rPh>
    <phoneticPr fontId="18"/>
  </si>
  <si>
    <t>①収穫表による乾材積</t>
    <rPh sb="1" eb="4">
      <t>シュウカクヒョウ</t>
    </rPh>
    <rPh sb="7" eb="10">
      <t>カンザイセキゾウカリョウ</t>
    </rPh>
    <phoneticPr fontId="18"/>
  </si>
  <si>
    <t>含水率</t>
    <rPh sb="0" eb="3">
      <t>ガンスイリツ</t>
    </rPh>
    <phoneticPr fontId="18"/>
  </si>
  <si>
    <t>水分増加量(t-H2O/ha/yr)</t>
    <rPh sb="0" eb="2">
      <t>スイブン</t>
    </rPh>
    <rPh sb="2" eb="4">
      <t>ゾウカ</t>
    </rPh>
    <rPh sb="4" eb="5">
      <t>キュウシュウリョウ</t>
    </rPh>
    <phoneticPr fontId="18"/>
  </si>
  <si>
    <t>年平均水分増加量(kg-H2O/m2/yr)</t>
    <rPh sb="0" eb="3">
      <t>ネンヘイキン</t>
    </rPh>
    <rPh sb="3" eb="8">
      <t>スイb</t>
    </rPh>
    <phoneticPr fontId="18"/>
  </si>
  <si>
    <t>総年平均水分増加量(kg-H2O/yr)</t>
    <rPh sb="0" eb="1">
      <t>ソウ</t>
    </rPh>
    <rPh sb="1" eb="9">
      <t>ネンヘイキンスイブンゾウカリョウ</t>
    </rPh>
    <phoneticPr fontId="18"/>
  </si>
  <si>
    <t>開発流量当たり利水ダム年間減価償却費及び維持費</t>
  </si>
  <si>
    <t>円/(m3・s)/yr</t>
    <rPh sb="0" eb="1">
      <t>エン</t>
    </rPh>
    <phoneticPr fontId="18"/>
  </si>
  <si>
    <t>ECO35貯水機能の価値</t>
    <rPh sb="5" eb="9">
      <t>チョスイキノウ</t>
    </rPh>
    <rPh sb="10" eb="12">
      <t>カチ</t>
    </rPh>
    <phoneticPr fontId="18"/>
  </si>
  <si>
    <t>１秒あたりの水量に割り戻す</t>
    <rPh sb="1" eb="2">
      <t>ビョウ</t>
    </rPh>
    <rPh sb="6" eb="8">
      <t>スイリョウ</t>
    </rPh>
    <rPh sb="9" eb="10">
      <t>ワ</t>
    </rPh>
    <rPh sb="11" eb="12">
      <t>モド</t>
    </rPh>
    <phoneticPr fontId="18"/>
  </si>
  <si>
    <t>浄水</t>
    <rPh sb="0" eb="2">
      <t>ジョウスイ</t>
    </rPh>
    <phoneticPr fontId="18"/>
  </si>
  <si>
    <t>水道料金（全国平均）</t>
    <rPh sb="0" eb="4">
      <t>スイドウリョウキン</t>
    </rPh>
    <rPh sb="5" eb="9">
      <t>ゼンコクヘイキン</t>
    </rPh>
    <phoneticPr fontId="18"/>
  </si>
  <si>
    <t>円/m3</t>
    <rPh sb="0" eb="1">
      <t>エン</t>
    </rPh>
    <phoneticPr fontId="18"/>
  </si>
  <si>
    <t>総年平均水分増加量(m3-H2O/s)</t>
    <rPh sb="0" eb="1">
      <t>ソウ</t>
    </rPh>
    <rPh sb="1" eb="9">
      <t>ネンヘイキンスイブンゾウカリョウ</t>
    </rPh>
    <phoneticPr fontId="18"/>
  </si>
  <si>
    <t>ECO35浄水機能の価値</t>
    <rPh sb="5" eb="9">
      <t>ジョウスイキノウ</t>
    </rPh>
    <rPh sb="10" eb="12">
      <t>カチ</t>
    </rPh>
    <phoneticPr fontId="18"/>
  </si>
  <si>
    <t>円/yr</t>
    <rPh sb="0" eb="1">
      <t>エン</t>
    </rPh>
    <phoneticPr fontId="18"/>
  </si>
  <si>
    <t>トヨタ・堤</t>
    <rPh sb="4" eb="5">
      <t>ツツミ</t>
    </rPh>
    <phoneticPr fontId="18"/>
  </si>
  <si>
    <t>年間吸収量</t>
    <rPh sb="0" eb="5">
      <t>ネンカンキュウシュウリョウ</t>
    </rPh>
    <phoneticPr fontId="18"/>
  </si>
  <si>
    <t>kg-CO2/yr</t>
    <phoneticPr fontId="18"/>
  </si>
  <si>
    <t>ECO35</t>
    <phoneticPr fontId="18"/>
  </si>
  <si>
    <t>数値</t>
    <rPh sb="0" eb="2">
      <t>スウチ</t>
    </rPh>
    <phoneticPr fontId="18"/>
  </si>
  <si>
    <t>単位</t>
    <rPh sb="0" eb="2">
      <t>タンイ</t>
    </rPh>
    <phoneticPr fontId="18"/>
  </si>
  <si>
    <t>貯水</t>
    <rPh sb="0" eb="2">
      <t>チョスイ</t>
    </rPh>
    <phoneticPr fontId="18"/>
  </si>
  <si>
    <t>経済価値試算</t>
    <rPh sb="0" eb="6">
      <t>ケイザイカチシサン</t>
    </rPh>
    <phoneticPr fontId="18"/>
  </si>
  <si>
    <t>北海道</t>
  </si>
  <si>
    <t>東北</t>
  </si>
  <si>
    <t>関東</t>
  </si>
  <si>
    <t>東山</t>
  </si>
  <si>
    <t>北陸</t>
  </si>
  <si>
    <t>東海</t>
  </si>
  <si>
    <t>近畿</t>
  </si>
  <si>
    <t>中国</t>
  </si>
  <si>
    <t>四国</t>
  </si>
  <si>
    <t>九州</t>
  </si>
  <si>
    <t>沖縄</t>
  </si>
  <si>
    <t>小川ら 2000 埼玉県環境科学国際センター</t>
    <phoneticPr fontId="18"/>
  </si>
  <si>
    <t>Makkink式</t>
    <rPh sb="7" eb="8">
      <t>シキ</t>
    </rPh>
    <phoneticPr fontId="18"/>
  </si>
  <si>
    <t>板寺 2005.pdf のp52</t>
    <phoneticPr fontId="18"/>
  </si>
  <si>
    <t>および</t>
    <phoneticPr fontId="18"/>
  </si>
  <si>
    <t>永井 1993 水分・水資源学会誌.pdf の附表</t>
    <rPh sb="23" eb="25">
      <t>フヒョウ</t>
    </rPh>
    <phoneticPr fontId="18"/>
  </si>
  <si>
    <t>から計算</t>
    <rPh sb="2" eb="4">
      <t>ケイサン</t>
    </rPh>
    <phoneticPr fontId="18"/>
  </si>
  <si>
    <t>気象庁のデータベースから月平均気温、日照率（日照時間／可照時間[日出〜日没の時間]）を拾ってくれば、その月の蒸散量(mm/month)が計算できる</t>
    <rPh sb="0" eb="3">
      <t>キショウチョウ</t>
    </rPh>
    <rPh sb="12" eb="17">
      <t>ツキヘイキンキオン</t>
    </rPh>
    <rPh sb="18" eb="21">
      <t>ニッショウリツ</t>
    </rPh>
    <rPh sb="22" eb="26">
      <t>ニッショウジカン</t>
    </rPh>
    <rPh sb="27" eb="31">
      <t>カショウジカン</t>
    </rPh>
    <rPh sb="32" eb="34">
      <t>🌅</t>
    </rPh>
    <rPh sb="35" eb="37">
      <t>ニチボツ</t>
    </rPh>
    <rPh sb="38" eb="40">
      <t>ジカン</t>
    </rPh>
    <rPh sb="43" eb="44">
      <t>ヒロ</t>
    </rPh>
    <rPh sb="52" eb="53">
      <t>ツキ</t>
    </rPh>
    <rPh sb="54" eb="57">
      <t>ジョウサンリョウ</t>
    </rPh>
    <rPh sb="68" eb="70">
      <t>ケイサン</t>
    </rPh>
    <phoneticPr fontId="18"/>
  </si>
  <si>
    <t>気象データに基づく算定法によって得られる蒸発量は、十分な水分がある被植面からの最大可能蒸発散量に相当（板寺 2005）</t>
    <rPh sb="51" eb="53">
      <t>イタデ</t>
    </rPh>
    <phoneticPr fontId="18"/>
  </si>
  <si>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</si>
  <si>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</si>
  <si>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</si>
  <si>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</si>
  <si>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</si>
  <si>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</si>
  <si>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</si>
  <si>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</si>
  <si>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</si>
  <si>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</si>
  <si>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</si>
  <si>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</si>
  <si>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</si>
  <si>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</si>
  <si>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</si>
  <si>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</si>
  <si>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</si>
  <si>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</si>
  <si>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</si>
  <si>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</si>
  <si>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</si>
  <si>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</si>
  <si>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</si>
  <si>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</si>
  <si>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</si>
  <si>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</si>
  <si>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</si>
  <si>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</si>
  <si>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</si>
  <si>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</si>
  <si>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</si>
  <si>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</si>
  <si>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</si>
  <si>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</si>
  <si>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</si>
  <si>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</si>
  <si>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</si>
  <si>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</si>
  <si>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</si>
  <si>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</si>
  <si>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</si>
  <si>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</si>
  <si>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</si>
  <si>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</si>
  <si>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</si>
  <si>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</si>
  <si>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選択して下さい</t>
    <rPh sb="0" eb="1">
      <t>センタク</t>
    </rPh>
    <rPh sb="3" eb="4">
      <t>クダ</t>
    </rPh>
    <phoneticPr fontId="18"/>
  </si>
  <si>
    <t>都道府県</t>
    <rPh sb="0" eb="4">
      <t>トドウ</t>
    </rPh>
    <phoneticPr fontId="18"/>
  </si>
  <si>
    <t>主要樹種</t>
    <rPh sb="0" eb="4">
      <t>シュヨウ</t>
    </rPh>
    <phoneticPr fontId="18"/>
  </si>
  <si>
    <t>落葉広葉樹</t>
    <rPh sb="0" eb="5">
      <t>ラクヨウコウヨウ</t>
    </rPh>
    <phoneticPr fontId="18"/>
  </si>
  <si>
    <t>常緑広葉樹</t>
    <rPh sb="0" eb="5">
      <t>ジョウリョクコウヨウj</t>
    </rPh>
    <phoneticPr fontId="18"/>
  </si>
  <si>
    <t>針葉樹</t>
    <rPh sb="0" eb="3">
      <t>ジョウリョクシンヨウジュ</t>
    </rPh>
    <phoneticPr fontId="18"/>
  </si>
  <si>
    <r>
      <t>植林面積(m</t>
    </r>
    <r>
      <rPr>
        <vertAlign val="superscript"/>
        <sz val="12"/>
        <color theme="1"/>
        <rFont val="ＭＳ Ｐゴシック"/>
        <family val="3"/>
        <charset val="128"/>
        <scheme val="minor"/>
      </rPr>
      <t>2</t>
    </r>
    <r>
      <rPr>
        <sz val="12"/>
        <color theme="1"/>
        <rFont val="ＭＳ Ｐゴシック"/>
        <family val="2"/>
        <charset val="128"/>
        <scheme val="minor"/>
      </rPr>
      <t>)</t>
    </r>
    <rPh sb="0" eb="4">
      <t>ショクリンメンセキ</t>
    </rPh>
    <phoneticPr fontId="18"/>
  </si>
  <si>
    <t>植林地1</t>
    <rPh sb="0" eb="3">
      <t>ショクリンチ</t>
    </rPh>
    <phoneticPr fontId="18"/>
  </si>
  <si>
    <t>経過年数</t>
    <rPh sb="0" eb="4">
      <t>ケイカネンスウ</t>
    </rPh>
    <phoneticPr fontId="18"/>
  </si>
  <si>
    <t>植林地2</t>
    <rPh sb="0" eb="3">
      <t>ショクリンチ</t>
    </rPh>
    <phoneticPr fontId="18"/>
  </si>
  <si>
    <t>植林地3</t>
    <rPh sb="0" eb="3">
      <t>ショクリンチ</t>
    </rPh>
    <phoneticPr fontId="18"/>
  </si>
  <si>
    <t>植林地4</t>
    <rPh sb="0" eb="3">
      <t>ショクリンチ</t>
    </rPh>
    <phoneticPr fontId="18"/>
  </si>
  <si>
    <t>植林地5</t>
    <rPh sb="0" eb="3">
      <t>ショクリンチ</t>
    </rPh>
    <phoneticPr fontId="18"/>
  </si>
  <si>
    <t>植林地6</t>
    <rPh sb="0" eb="3">
      <t>ショクリンチ</t>
    </rPh>
    <phoneticPr fontId="18"/>
  </si>
  <si>
    <t>植林地7</t>
    <rPh sb="0" eb="3">
      <t>ショクリンチ</t>
    </rPh>
    <phoneticPr fontId="18"/>
  </si>
  <si>
    <t>植林地8</t>
    <rPh sb="0" eb="3">
      <t>ショクリンチ</t>
    </rPh>
    <phoneticPr fontId="18"/>
  </si>
  <si>
    <t>植林地9</t>
    <rPh sb="0" eb="3">
      <t>ショクリンチ</t>
    </rPh>
    <phoneticPr fontId="18"/>
  </si>
  <si>
    <t>植林地10</t>
    <rPh sb="0" eb="3">
      <t>ショクリンチ</t>
    </rPh>
    <phoneticPr fontId="18"/>
  </si>
  <si>
    <t>年間二酸化炭素吸収量</t>
    <rPh sb="0" eb="2">
      <t>ネンカン</t>
    </rPh>
    <rPh sb="2" eb="7">
      <t>ニサンカタンソ</t>
    </rPh>
    <phoneticPr fontId="18"/>
  </si>
  <si>
    <t>カーボンクレジット価格による推定</t>
    <rPh sb="9" eb="11">
      <t>カカク</t>
    </rPh>
    <rPh sb="14" eb="16">
      <t>スイテイ</t>
    </rPh>
    <phoneticPr fontId="18"/>
  </si>
  <si>
    <t>普通車とプリウスの差額による推定</t>
    <rPh sb="0" eb="3">
      <t>フツウシャ</t>
    </rPh>
    <rPh sb="9" eb="11">
      <t>サガク</t>
    </rPh>
    <rPh sb="14" eb="16">
      <t>スイテイ</t>
    </rPh>
    <phoneticPr fontId="18"/>
  </si>
  <si>
    <t>推定法４</t>
    <rPh sb="0" eb="3">
      <t>スイテイホウ</t>
    </rPh>
    <phoneticPr fontId="18"/>
  </si>
  <si>
    <t>経済的
価値</t>
    <rPh sb="0" eb="6">
      <t>ケイザイテキカチ</t>
    </rPh>
    <phoneticPr fontId="18"/>
  </si>
  <si>
    <t>大気浄化</t>
    <rPh sb="0" eb="4">
      <t>タイキジョウカ</t>
    </rPh>
    <phoneticPr fontId="18"/>
  </si>
  <si>
    <t>大気汚染物質吸収</t>
    <rPh sb="0" eb="2">
      <t>タイキジョウカ</t>
    </rPh>
    <rPh sb="2" eb="6">
      <t>オセンブッシツ</t>
    </rPh>
    <rPh sb="6" eb="8">
      <t>キュウシュウ</t>
    </rPh>
    <phoneticPr fontId="18"/>
  </si>
  <si>
    <t>酸素放出量</t>
    <rPh sb="0" eb="5">
      <t>サンソホウシュツリョウ</t>
    </rPh>
    <phoneticPr fontId="18"/>
  </si>
  <si>
    <t>吸収熱量</t>
    <rPh sb="0" eb="4">
      <t>キュウシュウネツリョウ</t>
    </rPh>
    <phoneticPr fontId="18"/>
  </si>
  <si>
    <t>貯水量</t>
    <rPh sb="0" eb="3">
      <t>チョスイリョウ</t>
    </rPh>
    <phoneticPr fontId="18"/>
  </si>
  <si>
    <t>推定法1</t>
    <rPh sb="0" eb="3">
      <t>スイテイホウ</t>
    </rPh>
    <phoneticPr fontId="18"/>
  </si>
  <si>
    <t>推定法2</t>
    <rPh sb="0" eb="3">
      <t>スイテイホウ</t>
    </rPh>
    <phoneticPr fontId="18"/>
  </si>
  <si>
    <t>経済的
価値</t>
    <rPh sb="0" eb="6">
      <t>ケイザ</t>
    </rPh>
    <phoneticPr fontId="18"/>
  </si>
  <si>
    <t>合計</t>
    <rPh sb="0" eb="2">
      <t>ゴウケイ</t>
    </rPh>
    <phoneticPr fontId="18"/>
  </si>
  <si>
    <r>
      <t>kg CO</t>
    </r>
    <r>
      <rPr>
        <vertAlign val="subscript"/>
        <sz val="12"/>
        <color theme="1"/>
        <rFont val="ＭＳ Ｐゴシック"/>
        <family val="3"/>
        <charset val="128"/>
        <scheme val="minor"/>
      </rPr>
      <t>2</t>
    </r>
    <r>
      <rPr>
        <sz val="12"/>
        <color theme="1"/>
        <rFont val="ＭＳ Ｐゴシック"/>
        <family val="2"/>
        <charset val="128"/>
        <scheme val="minor"/>
      </rPr>
      <t>/</t>
    </r>
    <r>
      <rPr>
        <sz val="12"/>
        <color theme="1"/>
        <rFont val="ＭＳ Ｐゴシック"/>
        <family val="2"/>
        <charset val="128"/>
        <scheme val="minor"/>
      </rPr>
      <t>年</t>
    </r>
    <rPh sb="7" eb="8">
      <t>ネン</t>
    </rPh>
    <phoneticPr fontId="18"/>
  </si>
  <si>
    <t>円/年</t>
    <rPh sb="0" eb="1">
      <t>エン</t>
    </rPh>
    <rPh sb="2" eb="3">
      <t>ネン</t>
    </rPh>
    <phoneticPr fontId="18"/>
  </si>
  <si>
    <r>
      <t>大気汚染物質吸収量（NO</t>
    </r>
    <r>
      <rPr>
        <vertAlign val="subscript"/>
        <sz val="14"/>
        <color theme="1"/>
        <rFont val="ＭＳ Ｐゴシック"/>
        <family val="3"/>
        <charset val="128"/>
        <scheme val="minor"/>
      </rPr>
      <t>2</t>
    </r>
    <r>
      <rPr>
        <sz val="14"/>
        <color theme="1"/>
        <rFont val="ＭＳ Ｐゴシック"/>
        <family val="3"/>
        <charset val="128"/>
        <scheme val="minor"/>
      </rPr>
      <t>、SO</t>
    </r>
    <r>
      <rPr>
        <vertAlign val="subscript"/>
        <sz val="14"/>
        <color theme="1"/>
        <rFont val="ＭＳ Ｐゴシック"/>
        <family val="3"/>
        <charset val="128"/>
        <scheme val="minor"/>
      </rPr>
      <t>2</t>
    </r>
    <r>
      <rPr>
        <sz val="14"/>
        <color theme="1"/>
        <rFont val="ＭＳ Ｐゴシック"/>
        <family val="3"/>
        <charset val="128"/>
        <scheme val="minor"/>
      </rPr>
      <t>、O</t>
    </r>
    <r>
      <rPr>
        <vertAlign val="subscript"/>
        <sz val="14"/>
        <color theme="1"/>
        <rFont val="ＭＳ Ｐゴシック"/>
        <family val="3"/>
        <charset val="128"/>
        <scheme val="minor"/>
      </rPr>
      <t>3</t>
    </r>
    <r>
      <rPr>
        <sz val="14"/>
        <color theme="1"/>
        <rFont val="ＭＳ Ｐゴシック"/>
        <family val="3"/>
        <charset val="128"/>
        <scheme val="minor"/>
      </rPr>
      <t>)</t>
    </r>
    <rPh sb="0" eb="6">
      <t>タイキオセンブッシツ</t>
    </rPh>
    <rPh sb="6" eb="9">
      <t>キュウシュウリョウ</t>
    </rPh>
    <phoneticPr fontId="18"/>
  </si>
  <si>
    <t>工場排煙吸収コストからの推定？</t>
    <rPh sb="0" eb="2">
      <t>コウジョウハイエン</t>
    </rPh>
    <rPh sb="2" eb="4">
      <t>ハイエン</t>
    </rPh>
    <rPh sb="4" eb="6">
      <t>キュウシュウ</t>
    </rPh>
    <rPh sb="12" eb="14">
      <t>スイテイ</t>
    </rPh>
    <phoneticPr fontId="18"/>
  </si>
  <si>
    <t>工場排煙吸収コストからの推定</t>
    <rPh sb="0" eb="2">
      <t>コウジョウハイエン</t>
    </rPh>
    <rPh sb="2" eb="4">
      <t>ハイエン</t>
    </rPh>
    <rPh sb="4" eb="6">
      <t>キュウシュウ</t>
    </rPh>
    <rPh sb="12" eb="14">
      <t>スイテイ</t>
    </rPh>
    <phoneticPr fontId="18"/>
  </si>
  <si>
    <t>サイト名</t>
    <rPh sb="3" eb="4">
      <t>メイ</t>
    </rPh>
    <phoneticPr fontId="18"/>
  </si>
  <si>
    <t>主な樹種</t>
    <rPh sb="0" eb="1">
      <t>オモ</t>
    </rPh>
    <rPh sb="2" eb="4">
      <t>ジュシュ</t>
    </rPh>
    <phoneticPr fontId="18"/>
  </si>
  <si>
    <t>都道府県</t>
    <rPh sb="0" eb="4">
      <t>トドウフケン</t>
    </rPh>
    <phoneticPr fontId="18"/>
  </si>
  <si>
    <t>①サイト情報</t>
    <rPh sb="4" eb="6">
      <t>ジョウホウ</t>
    </rPh>
    <phoneticPr fontId="18"/>
  </si>
  <si>
    <t>青色のセルに入力して下さい。</t>
    <rPh sb="0" eb="2">
      <t>アオイロ</t>
    </rPh>
    <rPh sb="6" eb="8">
      <t>ニュウリョク</t>
    </rPh>
    <rPh sb="10" eb="11">
      <t>クダ</t>
    </rPh>
    <phoneticPr fontId="18"/>
  </si>
  <si>
    <t>月平均気温
(℃)</t>
    <rPh sb="0" eb="5">
      <t>ツキヘイキンキオン</t>
    </rPh>
    <phoneticPr fontId="18"/>
  </si>
  <si>
    <t>①</t>
    <phoneticPr fontId="18"/>
  </si>
  <si>
    <t>下記URLにアクセスする。</t>
    <rPh sb="0" eb="2">
      <t>カキ</t>
    </rPh>
    <phoneticPr fontId="18"/>
  </si>
  <si>
    <t>http://www.data.jma.go.jp/obd/stats/etrn/index.php</t>
  </si>
  <si>
    <t>②</t>
    <phoneticPr fontId="18"/>
  </si>
  <si>
    <t>「地点の選択」の下にある「都道府県の選択」をクリックする。</t>
    <rPh sb="1" eb="3">
      <t>チテン</t>
    </rPh>
    <rPh sb="4" eb="6">
      <t>センタク</t>
    </rPh>
    <rPh sb="8" eb="9">
      <t>シタ</t>
    </rPh>
    <rPh sb="13" eb="17">
      <t>トドウf</t>
    </rPh>
    <rPh sb="18" eb="20">
      <t>センタク</t>
    </rPh>
    <phoneticPr fontId="18"/>
  </si>
  <si>
    <t>③</t>
    <phoneticPr fontId="18"/>
  </si>
  <si>
    <t>サイトのある都道府県の名前をクリックする。</t>
    <rPh sb="6" eb="10">
      <t>トドウフケン</t>
    </rPh>
    <rPh sb="11" eb="13">
      <t>ナマエ</t>
    </rPh>
    <phoneticPr fontId="18"/>
  </si>
  <si>
    <t>永井ら2003の本を購入すること（https://www.kinokuniya.co.jp/f/dsg-01-9784627495319）</t>
    <rPh sb="0" eb="2">
      <t>ナガイ</t>
    </rPh>
    <rPh sb="8" eb="9">
      <t>ホン</t>
    </rPh>
    <rPh sb="10" eb="12">
      <t>コウニュウ</t>
    </rPh>
    <phoneticPr fontId="18"/>
  </si>
  <si>
    <t>あるいは大気圏外日射量や日照時間、可照時間を他から入手する</t>
    <rPh sb="4" eb="11">
      <t>タイキケン</t>
    </rPh>
    <rPh sb="12" eb="16">
      <t>ニッショウジカン</t>
    </rPh>
    <rPh sb="17" eb="21">
      <t>カショウ</t>
    </rPh>
    <rPh sb="22" eb="23">
      <t>ホカ</t>
    </rPh>
    <rPh sb="25" eb="27">
      <t>ニュウシュ</t>
    </rPh>
    <phoneticPr fontId="18"/>
  </si>
  <si>
    <t>および</t>
    <phoneticPr fontId="18"/>
  </si>
  <si>
    <t>永井ら2003の本の大気圏外日射量</t>
    <rPh sb="10" eb="17">
      <t>タイk</t>
    </rPh>
    <phoneticPr fontId="18"/>
  </si>
  <si>
    <t>地方気象台（北海道と沖縄以外は都道府県に１つ）では全天日射量が入手できるので、これなら日照率や大気圏外日射量は不要。</t>
    <rPh sb="0" eb="5">
      <t>チホウキショウ</t>
    </rPh>
    <rPh sb="6" eb="9">
      <t>ホッカイドウ</t>
    </rPh>
    <rPh sb="10" eb="12">
      <t>オキナワ</t>
    </rPh>
    <rPh sb="12" eb="14">
      <t>イガイ</t>
    </rPh>
    <rPh sb="15" eb="19">
      <t>トドウフケン</t>
    </rPh>
    <rPh sb="25" eb="30">
      <t>ゼンテンニッシャリョウ</t>
    </rPh>
    <rPh sb="31" eb="33">
      <t>ニュウシュ</t>
    </rPh>
    <rPh sb="43" eb="46">
      <t>ニッショウリツ</t>
    </rPh>
    <rPh sb="47" eb="54">
      <t>タイk</t>
    </rPh>
    <rPh sb="55" eb="57">
      <t>フヨウ</t>
    </rPh>
    <phoneticPr fontId="18"/>
  </si>
  <si>
    <t>植林効果の経済価値評価ツール (Ver 0.0)</t>
    <rPh sb="0" eb="4">
      <t>ショクリンコウカ</t>
    </rPh>
    <rPh sb="5" eb="7">
      <t>ケイザイヒョウカ</t>
    </rPh>
    <rPh sb="7" eb="9">
      <t>カチ</t>
    </rPh>
    <rPh sb="9" eb="11">
      <t>ヒョウカ</t>
    </rPh>
    <phoneticPr fontId="18"/>
  </si>
  <si>
    <t>Ⅰ. 情報入力</t>
    <rPh sb="3" eb="7">
      <t>ジョウホウニュウリョク</t>
    </rPh>
    <phoneticPr fontId="18"/>
  </si>
  <si>
    <t>Ⅱ. 評価結果</t>
    <rPh sb="3" eb="7">
      <t>ヒョウカケッカ</t>
    </rPh>
    <phoneticPr fontId="18"/>
  </si>
  <si>
    <t>入力された情報をもとに評価した植林の効果が表示されます。</t>
    <rPh sb="0" eb="2">
      <t>ニュウリョク</t>
    </rPh>
    <rPh sb="5" eb="7">
      <t>ジョウホウ</t>
    </rPh>
    <rPh sb="11" eb="13">
      <t>ヒョウカ</t>
    </rPh>
    <rPh sb="15" eb="17">
      <t>ショクリン</t>
    </rPh>
    <rPh sb="18" eb="20">
      <t>コウカ</t>
    </rPh>
    <rPh sb="21" eb="23">
      <t>ヒョウジ</t>
    </rPh>
    <phoneticPr fontId="18"/>
  </si>
  <si>
    <t>②植林情報</t>
    <rPh sb="1" eb="5">
      <t>ショクリン</t>
    </rPh>
    <phoneticPr fontId="18"/>
  </si>
  <si>
    <t>※植林年度ごとに入力してください。</t>
    <phoneticPr fontId="18"/>
  </si>
  <si>
    <t>※面積・年数は半角数字で入力して下さい。</t>
    <rPh sb="1" eb="3">
      <t>メンセキ</t>
    </rPh>
    <rPh sb="4" eb="6">
      <t>ネンスウ</t>
    </rPh>
    <rPh sb="7" eb="11">
      <t>ハンカクスウジ</t>
    </rPh>
    <rPh sb="12" eb="14">
      <t>ニュウリョク</t>
    </rPh>
    <rPh sb="16" eb="17">
      <t>クダ</t>
    </rPh>
    <phoneticPr fontId="18"/>
  </si>
  <si>
    <t>Ver. 0.0</t>
    <phoneticPr fontId="18"/>
  </si>
  <si>
    <t>①CO2吸収量地方較差補正係数（小川ら 2000)</t>
    <rPh sb="4" eb="7">
      <t>キュウシュウリョウ</t>
    </rPh>
    <rPh sb="7" eb="9">
      <t>チホウカクサ</t>
    </rPh>
    <rPh sb="9" eb="11">
      <t>カクサ</t>
    </rPh>
    <rPh sb="11" eb="15">
      <t>ホセイケイスウ</t>
    </rPh>
    <rPh sb="16" eb="18">
      <t>オガワ</t>
    </rPh>
    <phoneticPr fontId="18"/>
  </si>
  <si>
    <t>生育状況</t>
    <rPh sb="0" eb="4">
      <t>セイイクジョウキョウ</t>
    </rPh>
    <phoneticPr fontId="18"/>
  </si>
  <si>
    <t>良い</t>
    <rPh sb="0" eb="1">
      <t>ヨ</t>
    </rPh>
    <phoneticPr fontId="18"/>
  </si>
  <si>
    <t>普通</t>
    <rPh sb="0" eb="2">
      <t>フツウ</t>
    </rPh>
    <phoneticPr fontId="18"/>
  </si>
  <si>
    <t>植林面積合計</t>
    <rPh sb="0" eb="4">
      <t>ショクリンメンセキ</t>
    </rPh>
    <rPh sb="4" eb="6">
      <t>ゴウケイ</t>
    </rPh>
    <phoneticPr fontId="18"/>
  </si>
  <si>
    <t>©バードライフ・インターナショナル東京</t>
    <phoneticPr fontId="18"/>
  </si>
  <si>
    <r>
      <t>m</t>
    </r>
    <r>
      <rPr>
        <vertAlign val="superscript"/>
        <sz val="16"/>
        <color theme="1"/>
        <rFont val="ＭＳ Ｐゴシック"/>
        <family val="3"/>
        <charset val="128"/>
        <scheme val="minor"/>
      </rPr>
      <t>2</t>
    </r>
    <phoneticPr fontId="18"/>
  </si>
  <si>
    <t>月</t>
    <rPh sb="0" eb="1">
      <t>ツキ</t>
    </rPh>
    <phoneticPr fontId="18"/>
  </si>
  <si>
    <t>年</t>
    <rPh sb="0" eb="1">
      <t>ネン</t>
    </rPh>
    <phoneticPr fontId="18"/>
  </si>
  <si>
    <t>地方気象台</t>
    <rPh sb="0" eb="5">
      <t>チホウキ</t>
    </rPh>
    <phoneticPr fontId="18"/>
  </si>
  <si>
    <t>名古屋</t>
    <rPh sb="0" eb="3">
      <t>ナゴヤ</t>
    </rPh>
    <phoneticPr fontId="18"/>
  </si>
  <si>
    <t>愛知県</t>
    <rPh sb="0" eb="3">
      <t>アイチケン</t>
    </rPh>
    <phoneticPr fontId="18"/>
  </si>
  <si>
    <t>月平均全天日射量
(MJ/㎡)</t>
    <rPh sb="0" eb="3">
      <t>ツキヘイキン</t>
    </rPh>
    <phoneticPr fontId="18"/>
  </si>
  <si>
    <t>温暖化緩和</t>
    <rPh sb="0" eb="5">
      <t>オンダンカカンワキノウ</t>
    </rPh>
    <phoneticPr fontId="18"/>
  </si>
  <si>
    <t>気象緩和
(省エネルギー)</t>
    <rPh sb="0" eb="4">
      <t>キショウカンワ</t>
    </rPh>
    <rPh sb="6" eb="12">
      <t>ショウエ</t>
    </rPh>
    <phoneticPr fontId="18"/>
  </si>
  <si>
    <t>2016年6月1日</t>
    <rPh sb="5" eb="6">
      <t>ネン</t>
    </rPh>
    <rPh sb="7" eb="8">
      <t>ガツニチ</t>
    </rPh>
    <phoneticPr fontId="18"/>
  </si>
  <si>
    <t>入力値</t>
    <rPh sb="0" eb="3">
      <t>ニュウリョクチ</t>
    </rPh>
    <phoneticPr fontId="18"/>
  </si>
  <si>
    <t>乾材積増加量
(m3/ha)</t>
    <rPh sb="0" eb="6">
      <t>カンザイセキゾウカリョウ</t>
    </rPh>
    <phoneticPr fontId="18"/>
  </si>
  <si>
    <t>累積</t>
    <rPh sb="0" eb="2">
      <t>ルイセキ</t>
    </rPh>
    <phoneticPr fontId="18"/>
  </si>
  <si>
    <t>年間</t>
    <rPh sb="0" eb="2">
      <t>ネンカン</t>
    </rPh>
    <phoneticPr fontId="18"/>
  </si>
  <si>
    <t>都道府県</t>
    <rPh sb="0" eb="4">
      <t>トドウフ</t>
    </rPh>
    <phoneticPr fontId="18"/>
  </si>
  <si>
    <t>地方</t>
    <rPh sb="0" eb="2">
      <t>チホウ</t>
    </rPh>
    <phoneticPr fontId="18"/>
  </si>
  <si>
    <t>補正係数</t>
    <rPh sb="0" eb="4">
      <t>ホセイケイスウ</t>
    </rPh>
    <phoneticPr fontId="18"/>
  </si>
  <si>
    <t>結果</t>
    <rPh sb="0" eb="2">
      <t>ケッカ</t>
    </rPh>
    <phoneticPr fontId="18"/>
  </si>
  <si>
    <t>経済的価値
(円)</t>
    <rPh sb="0" eb="5">
      <t>ケイザイテキ</t>
    </rPh>
    <rPh sb="7" eb="8">
      <t>エン</t>
    </rPh>
    <phoneticPr fontId="18"/>
  </si>
  <si>
    <t>パラメータセット</t>
    <phoneticPr fontId="18"/>
  </si>
  <si>
    <t>したがって実際の蒸発散量よりも高くなる。そのためMakkink式で得られた最大可能蒸発散量に蒸発散比（小澤ら2012の式、小澤ら2010の表１から計算）を乗じて求める。（Ⓐ✕Ⓑ）</t>
    <rPh sb="5" eb="7">
      <t>ジッサイ</t>
    </rPh>
    <rPh sb="8" eb="12">
      <t>ジョウハッサンリョウ</t>
    </rPh>
    <rPh sb="15" eb="16">
      <t>タカ</t>
    </rPh>
    <rPh sb="31" eb="32">
      <t>シキ</t>
    </rPh>
    <rPh sb="33" eb="34">
      <t>エ</t>
    </rPh>
    <rPh sb="37" eb="45">
      <t>サイダイカノウジョウハッサンリョウ</t>
    </rPh>
    <rPh sb="46" eb="49">
      <t>ジョウハッサンヒ</t>
    </rPh>
    <rPh sb="49" eb="50">
      <t>ヒ</t>
    </rPh>
    <rPh sb="51" eb="53">
      <t>オザワ</t>
    </rPh>
    <rPh sb="59" eb="60">
      <t>シキ</t>
    </rPh>
    <rPh sb="61" eb="63">
      <t>オザワ</t>
    </rPh>
    <rPh sb="69" eb="70">
      <t>ヒョウ</t>
    </rPh>
    <rPh sb="73" eb="75">
      <t>ケイサン</t>
    </rPh>
    <rPh sb="77" eb="78">
      <t>ジョウ</t>
    </rPh>
    <rPh sb="80" eb="81">
      <t>モト</t>
    </rPh>
    <phoneticPr fontId="18"/>
  </si>
  <si>
    <t>各観測地点におけるMakkink式の係数a,b</t>
    <rPh sb="0" eb="1">
      <t>カク</t>
    </rPh>
    <rPh sb="1" eb="3">
      <t>カンソク</t>
    </rPh>
    <rPh sb="3" eb="5">
      <t>チテン</t>
    </rPh>
    <rPh sb="16" eb="17">
      <t>シキ</t>
    </rPh>
    <rPh sb="18" eb="20">
      <t>ケイスウ</t>
    </rPh>
    <phoneticPr fontId="18"/>
  </si>
  <si>
    <t>(係数aは無次元、bの単位はmm/d）</t>
    <rPh sb="1" eb="3">
      <t>ケイスウ</t>
    </rPh>
    <rPh sb="5" eb="6">
      <t>ム</t>
    </rPh>
    <rPh sb="6" eb="8">
      <t>ジゲン</t>
    </rPh>
    <rPh sb="11" eb="13">
      <t>タンイ</t>
    </rPh>
    <phoneticPr fontId="18"/>
  </si>
  <si>
    <t>Values of coefficients a and b in Makkink equation.</t>
    <phoneticPr fontId="18"/>
  </si>
  <si>
    <t>No.</t>
    <phoneticPr fontId="18"/>
  </si>
  <si>
    <t>地点名</t>
    <rPh sb="0" eb="2">
      <t>チテン</t>
    </rPh>
    <rPh sb="2" eb="3">
      <t>メイ</t>
    </rPh>
    <phoneticPr fontId="18"/>
  </si>
  <si>
    <t>係数</t>
    <rPh sb="0" eb="2">
      <t>ケイスウ</t>
    </rPh>
    <phoneticPr fontId="18"/>
  </si>
  <si>
    <t>a</t>
    <phoneticPr fontId="18"/>
  </si>
  <si>
    <t>b</t>
    <phoneticPr fontId="18"/>
  </si>
  <si>
    <t>稚内</t>
  </si>
  <si>
    <t>北海道</t>
    <rPh sb="0" eb="3">
      <t>ホッカイドウ</t>
    </rPh>
    <phoneticPr fontId="18"/>
  </si>
  <si>
    <t>北見枝半</t>
  </si>
  <si>
    <t>羽幌</t>
    <rPh sb="0" eb="2">
      <t>ハボロ</t>
    </rPh>
    <phoneticPr fontId="18"/>
  </si>
  <si>
    <t>雄武</t>
    <rPh sb="0" eb="1">
      <t>オス</t>
    </rPh>
    <phoneticPr fontId="18"/>
  </si>
  <si>
    <t>留萌</t>
  </si>
  <si>
    <t>旭川</t>
  </si>
  <si>
    <t>網走</t>
  </si>
  <si>
    <t>小樽</t>
  </si>
  <si>
    <t>札幌</t>
  </si>
  <si>
    <t>岩見沢</t>
  </si>
  <si>
    <t>帯広</t>
  </si>
  <si>
    <t>釧路</t>
  </si>
  <si>
    <t>根室</t>
  </si>
  <si>
    <t>寿都</t>
  </si>
  <si>
    <t>室蘭</t>
    <rPh sb="0" eb="2">
      <t>ムロラン</t>
    </rPh>
    <phoneticPr fontId="18"/>
  </si>
  <si>
    <t>苫小牧</t>
    <rPh sb="0" eb="3">
      <t>トマコマイ</t>
    </rPh>
    <phoneticPr fontId="18"/>
  </si>
  <si>
    <t>浦河</t>
    <rPh sb="0" eb="1">
      <t>ウラ</t>
    </rPh>
    <phoneticPr fontId="18"/>
  </si>
  <si>
    <t>江差</t>
  </si>
  <si>
    <t>森</t>
  </si>
  <si>
    <t>函館</t>
  </si>
  <si>
    <t>倶知安</t>
  </si>
  <si>
    <t>紋別</t>
    <rPh sb="1" eb="2">
      <t>ベツ</t>
    </rPh>
    <phoneticPr fontId="18"/>
  </si>
  <si>
    <t>広尾</t>
  </si>
  <si>
    <t>深浦</t>
  </si>
  <si>
    <t>青森</t>
    <rPh sb="0" eb="1">
      <t>アオ</t>
    </rPh>
    <phoneticPr fontId="18"/>
  </si>
  <si>
    <t>田名部</t>
    <rPh sb="0" eb="3">
      <t>タナベ</t>
    </rPh>
    <phoneticPr fontId="18"/>
  </si>
  <si>
    <t>八戸</t>
  </si>
  <si>
    <t>盛岡</t>
    <rPh sb="0" eb="2">
      <t>モリオカ</t>
    </rPh>
    <phoneticPr fontId="18"/>
  </si>
  <si>
    <t>岩手</t>
    <rPh sb="0" eb="2">
      <t>イワテ</t>
    </rPh>
    <phoneticPr fontId="18"/>
  </si>
  <si>
    <t>宮古</t>
    <rPh sb="0" eb="1">
      <t>ミヤ</t>
    </rPh>
    <phoneticPr fontId="18"/>
  </si>
  <si>
    <t>仙台</t>
  </si>
  <si>
    <t>宮城</t>
    <rPh sb="0" eb="2">
      <t>ミヤギ</t>
    </rPh>
    <phoneticPr fontId="18"/>
  </si>
  <si>
    <t>石巻</t>
  </si>
  <si>
    <t>秋田</t>
    <rPh sb="1" eb="2">
      <t>タ</t>
    </rPh>
    <phoneticPr fontId="18"/>
  </si>
  <si>
    <t>秋田</t>
    <rPh sb="0" eb="1">
      <t>アキ</t>
    </rPh>
    <rPh sb="1" eb="2">
      <t>タ</t>
    </rPh>
    <phoneticPr fontId="18"/>
  </si>
  <si>
    <t>新庄</t>
  </si>
  <si>
    <t>山形</t>
    <rPh sb="0" eb="2">
      <t>ヤマガタ</t>
    </rPh>
    <phoneticPr fontId="18"/>
  </si>
  <si>
    <t>酒田</t>
    <rPh sb="0" eb="1">
      <t>サケ</t>
    </rPh>
    <phoneticPr fontId="18"/>
  </si>
  <si>
    <t>若松</t>
  </si>
  <si>
    <t>福島</t>
    <rPh sb="0" eb="1">
      <t>フク</t>
    </rPh>
    <phoneticPr fontId="18"/>
  </si>
  <si>
    <t>白河</t>
  </si>
  <si>
    <t>小名浜</t>
  </si>
  <si>
    <t>筑波山</t>
  </si>
  <si>
    <t>茨城</t>
  </si>
  <si>
    <t>水戸</t>
    <rPh sb="0" eb="2">
      <t>ミト</t>
    </rPh>
    <phoneticPr fontId="18"/>
  </si>
  <si>
    <t>宇都宮</t>
    <phoneticPr fontId="18"/>
  </si>
  <si>
    <t>栃木</t>
  </si>
  <si>
    <t>中宮祠</t>
    <rPh sb="0" eb="1">
      <t>ナカ</t>
    </rPh>
    <rPh sb="1" eb="2">
      <t>ミヤ</t>
    </rPh>
    <phoneticPr fontId="18"/>
  </si>
  <si>
    <t>前橋</t>
    <rPh sb="1" eb="2">
      <t>ハシ</t>
    </rPh>
    <phoneticPr fontId="18"/>
  </si>
  <si>
    <t>群馬</t>
  </si>
  <si>
    <t>熊谷</t>
    <phoneticPr fontId="18"/>
  </si>
  <si>
    <t>埼玉</t>
    <rPh sb="0" eb="2">
      <t>サイタマ</t>
    </rPh>
    <phoneticPr fontId="18"/>
  </si>
  <si>
    <t>秩父</t>
    <phoneticPr fontId="18"/>
  </si>
  <si>
    <t>銚子</t>
    <rPh sb="1" eb="2">
      <t>コ</t>
    </rPh>
    <phoneticPr fontId="18"/>
  </si>
  <si>
    <t>千葉</t>
    <rPh sb="0" eb="2">
      <t>チバ</t>
    </rPh>
    <phoneticPr fontId="18"/>
  </si>
  <si>
    <t>富崎</t>
    <rPh sb="0" eb="1">
      <t>トミ</t>
    </rPh>
    <phoneticPr fontId="18"/>
  </si>
  <si>
    <t>勝浦</t>
  </si>
  <si>
    <t>東京</t>
    <rPh sb="0" eb="2">
      <t>トウキョウ</t>
    </rPh>
    <phoneticPr fontId="18"/>
  </si>
  <si>
    <t>大島</t>
    <rPh sb="0" eb="2">
      <t>オオシマ</t>
    </rPh>
    <phoneticPr fontId="18"/>
  </si>
  <si>
    <t>新島</t>
    <rPh sb="0" eb="2">
      <t>ニイジマ</t>
    </rPh>
    <phoneticPr fontId="18"/>
  </si>
  <si>
    <t>三宅島</t>
    <rPh sb="0" eb="2">
      <t>ミヤケ</t>
    </rPh>
    <rPh sb="2" eb="3">
      <t>ジマ</t>
    </rPh>
    <phoneticPr fontId="18"/>
  </si>
  <si>
    <t>八丈島</t>
    <rPh sb="0" eb="3">
      <t>ハチジョウジマ</t>
    </rPh>
    <phoneticPr fontId="18"/>
  </si>
  <si>
    <t>横浜</t>
    <rPh sb="0" eb="2">
      <t>ヨコハマ</t>
    </rPh>
    <phoneticPr fontId="18"/>
  </si>
  <si>
    <t>神奈川</t>
  </si>
  <si>
    <t>相川</t>
    <rPh sb="0" eb="2">
      <t>アイカワ</t>
    </rPh>
    <phoneticPr fontId="18"/>
  </si>
  <si>
    <t>新潟</t>
    <rPh sb="1" eb="2">
      <t>ガタ</t>
    </rPh>
    <phoneticPr fontId="18"/>
  </si>
  <si>
    <t>新潟</t>
    <rPh sb="0" eb="2">
      <t>ニイガタ</t>
    </rPh>
    <phoneticPr fontId="18"/>
  </si>
  <si>
    <t>高田</t>
    <rPh sb="0" eb="2">
      <t>タカダ</t>
    </rPh>
    <phoneticPr fontId="18"/>
  </si>
  <si>
    <t>伏木</t>
    <rPh sb="0" eb="2">
      <t>フシキ</t>
    </rPh>
    <phoneticPr fontId="18"/>
  </si>
  <si>
    <t>富山</t>
  </si>
  <si>
    <t>輪島</t>
    <rPh sb="0" eb="2">
      <t>ワジマ</t>
    </rPh>
    <phoneticPr fontId="18"/>
  </si>
  <si>
    <t>石川</t>
    <rPh sb="0" eb="2">
      <t>イシカワ</t>
    </rPh>
    <phoneticPr fontId="18"/>
  </si>
  <si>
    <t>金沢</t>
    <rPh sb="0" eb="2">
      <t>カナザワ</t>
    </rPh>
    <phoneticPr fontId="18"/>
  </si>
  <si>
    <t>福井</t>
    <rPh sb="0" eb="1">
      <t>フク</t>
    </rPh>
    <phoneticPr fontId="18"/>
  </si>
  <si>
    <t>福井</t>
    <rPh sb="0" eb="2">
      <t>フクイ</t>
    </rPh>
    <phoneticPr fontId="18"/>
  </si>
  <si>
    <t>敦賀</t>
    <rPh sb="0" eb="1">
      <t>アツシ</t>
    </rPh>
    <rPh sb="1" eb="2">
      <t>ガ</t>
    </rPh>
    <phoneticPr fontId="18"/>
  </si>
  <si>
    <t>甲府</t>
    <rPh sb="0" eb="2">
      <t>コウフ</t>
    </rPh>
    <phoneticPr fontId="18"/>
  </si>
  <si>
    <t>山梨</t>
    <rPh sb="0" eb="2">
      <t>ヤマナシ</t>
    </rPh>
    <phoneticPr fontId="18"/>
  </si>
  <si>
    <t>船津</t>
    <rPh sb="0" eb="1">
      <t>フネ</t>
    </rPh>
    <rPh sb="1" eb="2">
      <t>ツ</t>
    </rPh>
    <phoneticPr fontId="18"/>
  </si>
  <si>
    <t>長野</t>
    <rPh sb="0" eb="2">
      <t>ナガノ</t>
    </rPh>
    <phoneticPr fontId="18"/>
  </si>
  <si>
    <t>松本</t>
  </si>
  <si>
    <t>諏訪</t>
    <rPh sb="0" eb="2">
      <t>スワ</t>
    </rPh>
    <phoneticPr fontId="18"/>
  </si>
  <si>
    <t>軽井沢</t>
    <rPh sb="0" eb="3">
      <t>カルイザワ</t>
    </rPh>
    <phoneticPr fontId="18"/>
  </si>
  <si>
    <t>飯田</t>
  </si>
  <si>
    <t>高山</t>
    <rPh sb="0" eb="2">
      <t>タカヤマ</t>
    </rPh>
    <phoneticPr fontId="18"/>
  </si>
  <si>
    <t>岐阜</t>
  </si>
  <si>
    <t>浜松</t>
  </si>
  <si>
    <t>静岡</t>
  </si>
  <si>
    <t>御前崎</t>
    <rPh sb="0" eb="1">
      <t>オン</t>
    </rPh>
    <phoneticPr fontId="18"/>
  </si>
  <si>
    <t>三島</t>
    <rPh sb="0" eb="1">
      <t>サン</t>
    </rPh>
    <phoneticPr fontId="18"/>
  </si>
  <si>
    <t>長津呂</t>
    <rPh sb="0" eb="1">
      <t>ナガ</t>
    </rPh>
    <rPh sb="1" eb="2">
      <t>ツ</t>
    </rPh>
    <rPh sb="2" eb="3">
      <t>ロ</t>
    </rPh>
    <phoneticPr fontId="18"/>
  </si>
  <si>
    <t>網代</t>
  </si>
  <si>
    <t>名古屋</t>
  </si>
  <si>
    <t>愛知</t>
    <phoneticPr fontId="18"/>
  </si>
  <si>
    <t>伊良湖</t>
    <rPh sb="0" eb="1">
      <t>イ</t>
    </rPh>
    <rPh sb="1" eb="2">
      <t>ヨ</t>
    </rPh>
    <phoneticPr fontId="18"/>
  </si>
  <si>
    <t>愛知</t>
    <phoneticPr fontId="18"/>
  </si>
  <si>
    <t>上野</t>
  </si>
  <si>
    <t>三重</t>
    <rPh sb="0" eb="1">
      <t>３</t>
    </rPh>
    <phoneticPr fontId="18"/>
  </si>
  <si>
    <t>亀山</t>
  </si>
  <si>
    <t>津</t>
    <phoneticPr fontId="18"/>
  </si>
  <si>
    <t>尾鷲</t>
    <rPh sb="0" eb="1">
      <t>オ</t>
    </rPh>
    <rPh sb="1" eb="2">
      <t>ワシ</t>
    </rPh>
    <phoneticPr fontId="18"/>
  </si>
  <si>
    <t>伊吹山</t>
    <rPh sb="0" eb="2">
      <t>イブキ</t>
    </rPh>
    <rPh sb="2" eb="3">
      <t>ヤマ</t>
    </rPh>
    <phoneticPr fontId="18"/>
  </si>
  <si>
    <t>滋賀</t>
    <rPh sb="0" eb="2">
      <t>シガ</t>
    </rPh>
    <phoneticPr fontId="18"/>
  </si>
  <si>
    <t>彦根</t>
    <rPh sb="1" eb="2">
      <t>ネ</t>
    </rPh>
    <phoneticPr fontId="18"/>
  </si>
  <si>
    <t>舞鶴</t>
    <rPh sb="0" eb="2">
      <t>マイヅル</t>
    </rPh>
    <phoneticPr fontId="18"/>
  </si>
  <si>
    <t>京都</t>
  </si>
  <si>
    <t>大阪</t>
    <phoneticPr fontId="18"/>
  </si>
  <si>
    <t>豊岡</t>
  </si>
  <si>
    <t>兵庫</t>
    <phoneticPr fontId="18"/>
  </si>
  <si>
    <t>姫路</t>
  </si>
  <si>
    <t>兵庫</t>
    <phoneticPr fontId="18"/>
  </si>
  <si>
    <t>神戸</t>
  </si>
  <si>
    <t>兵庫</t>
    <phoneticPr fontId="18"/>
  </si>
  <si>
    <t>洲本</t>
    <rPh sb="0" eb="1">
      <t>ス</t>
    </rPh>
    <rPh sb="1" eb="2">
      <t>ホン</t>
    </rPh>
    <phoneticPr fontId="18"/>
  </si>
  <si>
    <t>兵庫</t>
    <phoneticPr fontId="18"/>
  </si>
  <si>
    <t>奈良</t>
  </si>
  <si>
    <t>和歌山</t>
  </si>
  <si>
    <t>潮岬</t>
  </si>
  <si>
    <t>米子</t>
  </si>
  <si>
    <t>鳥取</t>
  </si>
  <si>
    <t>西郷</t>
  </si>
  <si>
    <t>島根</t>
    <rPh sb="0" eb="2">
      <t>シマネ</t>
    </rPh>
    <phoneticPr fontId="18"/>
  </si>
  <si>
    <t>松江</t>
  </si>
  <si>
    <t>境</t>
    <rPh sb="0" eb="1">
      <t>サカイ</t>
    </rPh>
    <phoneticPr fontId="18"/>
  </si>
  <si>
    <t>浜田</t>
    <rPh sb="0" eb="2">
      <t>ハマダ</t>
    </rPh>
    <phoneticPr fontId="18"/>
  </si>
  <si>
    <t>津山</t>
  </si>
  <si>
    <t>岡山</t>
    <rPh sb="0" eb="2">
      <t>オカヤマ</t>
    </rPh>
    <phoneticPr fontId="18"/>
  </si>
  <si>
    <t>岡山</t>
  </si>
  <si>
    <t>広島</t>
  </si>
  <si>
    <t>呉</t>
  </si>
  <si>
    <t>松永</t>
  </si>
  <si>
    <t>萩</t>
  </si>
  <si>
    <t>山口</t>
    <rPh sb="0" eb="2">
      <t>ヤマグチ</t>
    </rPh>
    <phoneticPr fontId="18"/>
  </si>
  <si>
    <t>下関</t>
  </si>
  <si>
    <t>防府</t>
  </si>
  <si>
    <t>徳島</t>
  </si>
  <si>
    <t>徳島</t>
    <rPh sb="0" eb="2">
      <t>トクシマ</t>
    </rPh>
    <phoneticPr fontId="18"/>
  </si>
  <si>
    <t>多度津</t>
    <rPh sb="0" eb="1">
      <t>タ</t>
    </rPh>
    <rPh sb="1" eb="2">
      <t>ド</t>
    </rPh>
    <rPh sb="2" eb="3">
      <t>ツ</t>
    </rPh>
    <phoneticPr fontId="18"/>
  </si>
  <si>
    <t>香川</t>
    <rPh sb="0" eb="2">
      <t>カガワ</t>
    </rPh>
    <phoneticPr fontId="18"/>
  </si>
  <si>
    <t>高松</t>
  </si>
  <si>
    <t>松山</t>
  </si>
  <si>
    <t>愛媛</t>
    <rPh sb="0" eb="2">
      <t>エヒメ</t>
    </rPh>
    <phoneticPr fontId="18"/>
  </si>
  <si>
    <t>宇和島</t>
  </si>
  <si>
    <t>高知</t>
  </si>
  <si>
    <t>高知</t>
    <rPh sb="0" eb="2">
      <t>コウチ</t>
    </rPh>
    <phoneticPr fontId="18"/>
  </si>
  <si>
    <t>宿毛</t>
    <rPh sb="0" eb="1">
      <t>ヤド</t>
    </rPh>
    <rPh sb="1" eb="2">
      <t>ケ</t>
    </rPh>
    <phoneticPr fontId="18"/>
  </si>
  <si>
    <t>足摺</t>
    <rPh sb="0" eb="2">
      <t>アシズリ</t>
    </rPh>
    <phoneticPr fontId="18"/>
  </si>
  <si>
    <t>室戸岬</t>
    <rPh sb="0" eb="1">
      <t>ムロ</t>
    </rPh>
    <rPh sb="1" eb="2">
      <t>ド</t>
    </rPh>
    <rPh sb="2" eb="3">
      <t>ミサキ</t>
    </rPh>
    <phoneticPr fontId="18"/>
  </si>
  <si>
    <t>福岡</t>
    <rPh sb="0" eb="2">
      <t>フクオカ</t>
    </rPh>
    <phoneticPr fontId="18"/>
  </si>
  <si>
    <t>飯塚</t>
    <rPh sb="0" eb="2">
      <t>イイヅカ</t>
    </rPh>
    <phoneticPr fontId="18"/>
  </si>
  <si>
    <t>佐賀</t>
    <rPh sb="0" eb="2">
      <t>サガ</t>
    </rPh>
    <phoneticPr fontId="18"/>
  </si>
  <si>
    <t>厳原</t>
    <rPh sb="0" eb="1">
      <t>キビ</t>
    </rPh>
    <rPh sb="1" eb="2">
      <t>ハラ</t>
    </rPh>
    <phoneticPr fontId="18"/>
  </si>
  <si>
    <t>長崎</t>
    <rPh sb="0" eb="2">
      <t>ナガサキ</t>
    </rPh>
    <phoneticPr fontId="18"/>
  </si>
  <si>
    <t>平戸</t>
    <rPh sb="0" eb="1">
      <t>ヒラ</t>
    </rPh>
    <phoneticPr fontId="18"/>
  </si>
  <si>
    <t>佐世保</t>
    <rPh sb="2" eb="3">
      <t>タモツ</t>
    </rPh>
    <phoneticPr fontId="18"/>
  </si>
  <si>
    <t>富江</t>
    <rPh sb="0" eb="1">
      <t>トミ</t>
    </rPh>
    <phoneticPr fontId="18"/>
  </si>
  <si>
    <t>雲仙岳</t>
    <rPh sb="0" eb="3">
      <t>ウンゼンダケ</t>
    </rPh>
    <phoneticPr fontId="18"/>
  </si>
  <si>
    <t>福江</t>
    <rPh sb="0" eb="2">
      <t>フクエ</t>
    </rPh>
    <phoneticPr fontId="18"/>
  </si>
  <si>
    <t>熊本</t>
    <rPh sb="0" eb="2">
      <t>クマモト</t>
    </rPh>
    <phoneticPr fontId="18"/>
  </si>
  <si>
    <t>阿蘇山</t>
    <rPh sb="0" eb="2">
      <t>アソ</t>
    </rPh>
    <rPh sb="2" eb="3">
      <t>ザン</t>
    </rPh>
    <phoneticPr fontId="18"/>
  </si>
  <si>
    <t>人吉</t>
    <rPh sb="0" eb="1">
      <t>ヒト</t>
    </rPh>
    <rPh sb="1" eb="2">
      <t>キチ</t>
    </rPh>
    <phoneticPr fontId="18"/>
  </si>
  <si>
    <t>牛深</t>
    <rPh sb="0" eb="1">
      <t>ウシ</t>
    </rPh>
    <rPh sb="1" eb="2">
      <t>フカ</t>
    </rPh>
    <phoneticPr fontId="18"/>
  </si>
  <si>
    <t>日田</t>
    <rPh sb="0" eb="1">
      <t>ヒ</t>
    </rPh>
    <rPh sb="1" eb="2">
      <t>タ</t>
    </rPh>
    <phoneticPr fontId="18"/>
  </si>
  <si>
    <t>大分</t>
    <rPh sb="1" eb="2">
      <t>フン</t>
    </rPh>
    <phoneticPr fontId="18"/>
  </si>
  <si>
    <t>延岡</t>
  </si>
  <si>
    <t>宮崎</t>
  </si>
  <si>
    <t>都城</t>
    <rPh sb="0" eb="1">
      <t>ミヤコ</t>
    </rPh>
    <rPh sb="1" eb="2">
      <t>シロ</t>
    </rPh>
    <phoneticPr fontId="18"/>
  </si>
  <si>
    <t>油津</t>
    <rPh sb="0" eb="1">
      <t>アブラ</t>
    </rPh>
    <rPh sb="1" eb="2">
      <t>ツ</t>
    </rPh>
    <phoneticPr fontId="18"/>
  </si>
  <si>
    <t>阿久根</t>
    <rPh sb="2" eb="3">
      <t>ネ</t>
    </rPh>
    <phoneticPr fontId="18"/>
  </si>
  <si>
    <t>鹿児島</t>
    <rPh sb="0" eb="1">
      <t>シカ</t>
    </rPh>
    <phoneticPr fontId="18"/>
  </si>
  <si>
    <t>枕崎</t>
  </si>
  <si>
    <t>屋久島</t>
    <rPh sb="0" eb="1">
      <t>ヤ</t>
    </rPh>
    <phoneticPr fontId="18"/>
  </si>
  <si>
    <t>種子島</t>
    <rPh sb="0" eb="1">
      <t>タネ</t>
    </rPh>
    <phoneticPr fontId="18"/>
  </si>
  <si>
    <t>名瀬</t>
    <rPh sb="1" eb="2">
      <t>セ</t>
    </rPh>
    <phoneticPr fontId="18"/>
  </si>
  <si>
    <t>沖永良部</t>
    <rPh sb="0" eb="1">
      <t>オキ</t>
    </rPh>
    <rPh sb="3" eb="4">
      <t>ブ</t>
    </rPh>
    <phoneticPr fontId="18"/>
  </si>
  <si>
    <t>出典： 永井明博・田中丸治哉・角屋睦 『ダム管理の水文学』 森北出版、2003年、115-116頁</t>
    <rPh sb="0" eb="2">
      <t>シュッテン</t>
    </rPh>
    <rPh sb="4" eb="6">
      <t>ナガイ</t>
    </rPh>
    <rPh sb="6" eb="7">
      <t>ア</t>
    </rPh>
    <rPh sb="7" eb="8">
      <t>ヒロ</t>
    </rPh>
    <rPh sb="9" eb="11">
      <t>タナカ</t>
    </rPh>
    <rPh sb="11" eb="12">
      <t>マル</t>
    </rPh>
    <rPh sb="12" eb="13">
      <t>オサ</t>
    </rPh>
    <rPh sb="13" eb="14">
      <t>ヤ</t>
    </rPh>
    <rPh sb="15" eb="16">
      <t>カド</t>
    </rPh>
    <rPh sb="16" eb="17">
      <t>ヤ</t>
    </rPh>
    <rPh sb="17" eb="18">
      <t>ムツミ</t>
    </rPh>
    <rPh sb="22" eb="24">
      <t>カンリ</t>
    </rPh>
    <rPh sb="25" eb="26">
      <t>ミズ</t>
    </rPh>
    <rPh sb="26" eb="28">
      <t>ブンガク</t>
    </rPh>
    <rPh sb="30" eb="32">
      <t>モリキタ</t>
    </rPh>
    <rPh sb="32" eb="34">
      <t>シュッパン</t>
    </rPh>
    <rPh sb="39" eb="40">
      <t>ネン</t>
    </rPh>
    <rPh sb="48" eb="49">
      <t>ページ</t>
    </rPh>
    <phoneticPr fontId="18"/>
  </si>
  <si>
    <t>Makkink式パラメータは別シートにある</t>
    <rPh sb="7" eb="8">
      <t>シキ</t>
    </rPh>
    <rPh sb="14" eb="15">
      <t>ベツ</t>
    </rPh>
    <phoneticPr fontId="18"/>
  </si>
  <si>
    <t>都道府県</t>
    <rPh sb="0" eb="4">
      <t>トドウフケン</t>
    </rPh>
    <phoneticPr fontId="18"/>
  </si>
  <si>
    <t>樹種</t>
    <rPh sb="0" eb="2">
      <t>ジュシュ</t>
    </rPh>
    <phoneticPr fontId="18"/>
  </si>
  <si>
    <t>大阪府</t>
    <rPh sb="2" eb="3">
      <t>フ</t>
    </rPh>
    <phoneticPr fontId="18"/>
  </si>
  <si>
    <t>京都府</t>
    <rPh sb="2" eb="3">
      <t>フ</t>
    </rPh>
    <phoneticPr fontId="18"/>
  </si>
  <si>
    <t>東京都</t>
    <rPh sb="2" eb="3">
      <t>ト</t>
    </rPh>
    <phoneticPr fontId="18"/>
  </si>
  <si>
    <t>北海道</t>
    <phoneticPr fontId="18"/>
  </si>
  <si>
    <t>月蒸発量
(mm/day)</t>
    <rPh sb="0" eb="1">
      <t>ツキ</t>
    </rPh>
    <rPh sb="1" eb="4">
      <t>ジョウハ</t>
    </rPh>
    <phoneticPr fontId="18"/>
  </si>
  <si>
    <t>植林地１</t>
    <rPh sb="0" eb="3">
      <t>ショクリンチ</t>
    </rPh>
    <phoneticPr fontId="18"/>
  </si>
  <si>
    <t>平均的な樹高が</t>
    <rPh sb="0" eb="3">
      <t>ヘイキンテキ</t>
    </rPh>
    <rPh sb="4" eb="6">
      <t>ジュコウ</t>
    </rPh>
    <phoneticPr fontId="18"/>
  </si>
  <si>
    <t>→</t>
    <phoneticPr fontId="18"/>
  </si>
  <si>
    <t>良好</t>
    <rPh sb="0" eb="2">
      <t>リョウコウ</t>
    </rPh>
    <phoneticPr fontId="18"/>
  </si>
  <si>
    <t>普通</t>
    <rPh sb="0" eb="2">
      <t>フツウ</t>
    </rPh>
    <phoneticPr fontId="18"/>
  </si>
  <si>
    <t>不良</t>
    <rPh sb="0" eb="2">
      <t>フリョウ</t>
    </rPh>
    <phoneticPr fontId="18"/>
  </si>
  <si>
    <t>メートル以下</t>
    <rPh sb="4" eb="6">
      <t>イカ</t>
    </rPh>
    <phoneticPr fontId="18"/>
  </si>
  <si>
    <t>メートルより大きい</t>
    <rPh sb="6" eb="7">
      <t>オオ</t>
    </rPh>
    <phoneticPr fontId="18"/>
  </si>
  <si>
    <t>メートルより小さい</t>
    <rPh sb="6" eb="7">
      <t>チイ</t>
    </rPh>
    <phoneticPr fontId="18"/>
  </si>
  <si>
    <t>メートル以上、かつ</t>
    <rPh sb="4" eb="6">
      <t>イジョウ</t>
    </rPh>
    <phoneticPr fontId="18"/>
  </si>
  <si>
    <t>生育状態の判断基準</t>
    <rPh sb="0" eb="4">
      <t>セイイクj</t>
    </rPh>
    <rPh sb="5" eb="9">
      <t>ハンダンキジュン</t>
    </rPh>
    <phoneticPr fontId="18"/>
  </si>
  <si>
    <t>植林地２</t>
    <rPh sb="0" eb="3">
      <t>ショクリンチ</t>
    </rPh>
    <phoneticPr fontId="18"/>
  </si>
  <si>
    <t>植林地３</t>
    <rPh sb="0" eb="3">
      <t>ショクリンチ</t>
    </rPh>
    <phoneticPr fontId="18"/>
  </si>
  <si>
    <t>植林地４</t>
    <rPh sb="0" eb="3">
      <t>ショクリンチ</t>
    </rPh>
    <phoneticPr fontId="18"/>
  </si>
  <si>
    <t>植林地５</t>
    <rPh sb="0" eb="3">
      <t>ショクリンチ</t>
    </rPh>
    <phoneticPr fontId="18"/>
  </si>
  <si>
    <t>植林地６</t>
    <rPh sb="0" eb="3">
      <t>ショクリンチ</t>
    </rPh>
    <phoneticPr fontId="18"/>
  </si>
  <si>
    <t>植林地７</t>
    <rPh sb="0" eb="3">
      <t>ショクリンチ</t>
    </rPh>
    <phoneticPr fontId="18"/>
  </si>
  <si>
    <t>植林地８</t>
    <rPh sb="0" eb="3">
      <t>ショクリンチ</t>
    </rPh>
    <phoneticPr fontId="18"/>
  </si>
  <si>
    <t>植林地９</t>
    <rPh sb="0" eb="3">
      <t>ショクリンチ</t>
    </rPh>
    <phoneticPr fontId="18"/>
  </si>
  <si>
    <t>植林地１０</t>
    <rPh sb="0" eb="3">
      <t>ショクリンチ</t>
    </rPh>
    <phoneticPr fontId="18"/>
  </si>
  <si>
    <t>良好</t>
    <rPh sb="0" eb="2">
      <t>リョウコウ</t>
    </rPh>
    <phoneticPr fontId="18"/>
  </si>
  <si>
    <t>不良</t>
    <rPh sb="0" eb="2">
      <t>フリョウ</t>
    </rPh>
    <phoneticPr fontId="18"/>
  </si>
  <si>
    <t>X1</t>
    <phoneticPr fontId="18"/>
  </si>
  <si>
    <t>Y2</t>
    <phoneticPr fontId="18"/>
  </si>
  <si>
    <t>Y1</t>
    <phoneticPr fontId="18"/>
  </si>
  <si>
    <t>Y1</t>
    <phoneticPr fontId="18"/>
  </si>
  <si>
    <t>X2</t>
    <phoneticPr fontId="18"/>
  </si>
  <si>
    <t>Y3</t>
  </si>
  <si>
    <t>Y3</t>
    <phoneticPr fontId="18"/>
  </si>
  <si>
    <t>Y4</t>
  </si>
  <si>
    <t>Y4</t>
    <phoneticPr fontId="18"/>
  </si>
  <si>
    <t>Y5</t>
  </si>
  <si>
    <t>Y5</t>
    <phoneticPr fontId="18"/>
  </si>
  <si>
    <t>Y6</t>
  </si>
  <si>
    <t>Y6</t>
    <phoneticPr fontId="18"/>
  </si>
  <si>
    <t>Y7</t>
  </si>
  <si>
    <t>Y7</t>
    <phoneticPr fontId="18"/>
  </si>
  <si>
    <t>Y8</t>
  </si>
  <si>
    <t>Y8</t>
    <phoneticPr fontId="18"/>
  </si>
  <si>
    <t>Y9</t>
  </si>
  <si>
    <t>Y9</t>
    <phoneticPr fontId="18"/>
  </si>
  <si>
    <t>Y10</t>
  </si>
  <si>
    <t>Y10</t>
    <phoneticPr fontId="18"/>
  </si>
  <si>
    <t>X3</t>
  </si>
  <si>
    <t>X4</t>
  </si>
  <si>
    <t>X5</t>
  </si>
  <si>
    <t>X6</t>
  </si>
  <si>
    <t>X7</t>
  </si>
  <si>
    <t>X8</t>
  </si>
  <si>
    <t>X9</t>
  </si>
  <si>
    <t>X10</t>
  </si>
  <si>
    <t>経済的価値</t>
    <rPh sb="0" eb="5">
      <t>ケイザイテキカチ</t>
    </rPh>
    <phoneticPr fontId="18"/>
  </si>
  <si>
    <t>評価した機能</t>
    <rPh sb="0" eb="6">
      <t>ヒョウカシ</t>
    </rPh>
    <phoneticPr fontId="18"/>
  </si>
  <si>
    <t>単位面積あたり</t>
    <rPh sb="0" eb="4">
      <t>タンイメンセキ</t>
    </rPh>
    <phoneticPr fontId="18"/>
  </si>
  <si>
    <r>
      <t>円/年/m</t>
    </r>
    <r>
      <rPr>
        <vertAlign val="superscript"/>
        <sz val="16"/>
        <color theme="1"/>
        <rFont val="ＭＳ Ｐゴシック"/>
        <family val="3"/>
        <charset val="128"/>
        <scheme val="minor"/>
      </rPr>
      <t>2</t>
    </r>
    <rPh sb="0" eb="1">
      <t>エン</t>
    </rPh>
    <rPh sb="2" eb="3">
      <t>ネン</t>
    </rPh>
    <phoneticPr fontId="18"/>
  </si>
  <si>
    <t>Ver. 0.0   2016年6月1日   ©バードライフ・インターナショナル東京</t>
    <phoneticPr fontId="18"/>
  </si>
  <si>
    <r>
      <t>NO</t>
    </r>
    <r>
      <rPr>
        <vertAlign val="subscript"/>
        <sz val="14"/>
        <color theme="1"/>
        <rFont val="ＭＳ Ｐゴシック"/>
        <family val="3"/>
        <charset val="128"/>
        <scheme val="minor"/>
      </rPr>
      <t>2</t>
    </r>
    <r>
      <rPr>
        <sz val="14"/>
        <color theme="1"/>
        <rFont val="ＭＳ Ｐゴシック"/>
        <family val="3"/>
        <charset val="128"/>
        <scheme val="minor"/>
      </rPr>
      <t>吸収量</t>
    </r>
    <rPh sb="3" eb="6">
      <t>キュウシュウリョウ</t>
    </rPh>
    <phoneticPr fontId="18"/>
  </si>
  <si>
    <r>
      <t>SO</t>
    </r>
    <r>
      <rPr>
        <vertAlign val="subscript"/>
        <sz val="14"/>
        <color theme="1"/>
        <rFont val="ＭＳ Ｐゴシック"/>
        <family val="3"/>
        <charset val="128"/>
        <scheme val="minor"/>
      </rPr>
      <t>2</t>
    </r>
    <r>
      <rPr>
        <sz val="14"/>
        <color theme="1"/>
        <rFont val="ＭＳ Ｐゴシック"/>
        <family val="3"/>
        <charset val="128"/>
        <scheme val="minor"/>
      </rPr>
      <t>吸収量</t>
    </r>
    <rPh sb="3" eb="6">
      <t>キュウシュウリョウ</t>
    </rPh>
    <phoneticPr fontId="18"/>
  </si>
  <si>
    <r>
      <t>O</t>
    </r>
    <r>
      <rPr>
        <vertAlign val="subscript"/>
        <sz val="14"/>
        <color theme="1"/>
        <rFont val="ＭＳ Ｐゴシック"/>
        <family val="3"/>
        <charset val="128"/>
        <scheme val="minor"/>
      </rPr>
      <t>3</t>
    </r>
    <r>
      <rPr>
        <sz val="14"/>
        <color theme="1"/>
        <rFont val="ＭＳ Ｐゴシック"/>
        <family val="3"/>
        <charset val="128"/>
        <scheme val="minor"/>
      </rPr>
      <t>吸収量</t>
    </r>
    <rPh sb="2" eb="5">
      <t>キュウシュウリョウ</t>
    </rPh>
    <phoneticPr fontId="18"/>
  </si>
  <si>
    <t>大阪</t>
    <phoneticPr fontId="18"/>
  </si>
  <si>
    <t>宇都宮</t>
    <phoneticPr fontId="18"/>
  </si>
  <si>
    <t>熊谷</t>
    <phoneticPr fontId="18"/>
  </si>
  <si>
    <t>秩父</t>
    <phoneticPr fontId="18"/>
  </si>
  <si>
    <t>地域</t>
    <rPh sb="0" eb="2">
      <t>チイキ</t>
    </rPh>
    <phoneticPr fontId="18"/>
  </si>
  <si>
    <t>植林活動の経済価値評価ツール</t>
    <rPh sb="0" eb="2">
      <t>ショクリンコウカ</t>
    </rPh>
    <rPh sb="2" eb="4">
      <t>カツドウ</t>
    </rPh>
    <rPh sb="5" eb="7">
      <t>ケイザイヒョウカ</t>
    </rPh>
    <rPh sb="7" eb="9">
      <t>カチ</t>
    </rPh>
    <rPh sb="9" eb="11">
      <t>ヒョウカ</t>
    </rPh>
    <phoneticPr fontId="18"/>
  </si>
  <si>
    <t>メートル以下、かつ</t>
    <rPh sb="4" eb="6">
      <t>イカ</t>
    </rPh>
    <phoneticPr fontId="18"/>
  </si>
  <si>
    <t>メートル以上</t>
    <rPh sb="4" eb="6">
      <t>イジョウ</t>
    </rPh>
    <phoneticPr fontId="18"/>
  </si>
  <si>
    <r>
      <t>植林面積 (m</t>
    </r>
    <r>
      <rPr>
        <vertAlign val="superscript"/>
        <sz val="12"/>
        <color theme="1"/>
        <rFont val="ＭＳ Ｐゴシック"/>
        <family val="3"/>
        <charset val="128"/>
        <scheme val="minor"/>
      </rPr>
      <t>2</t>
    </r>
    <r>
      <rPr>
        <sz val="12"/>
        <color theme="1"/>
        <rFont val="ＭＳ Ｐゴシック"/>
        <family val="2"/>
        <charset val="128"/>
        <scheme val="minor"/>
      </rPr>
      <t>)</t>
    </r>
    <rPh sb="0" eb="4">
      <t>ショクリンメンセキ</t>
    </rPh>
    <phoneticPr fontId="18"/>
  </si>
  <si>
    <t>←プルダウンメニューから選択</t>
    <rPh sb="12" eb="14">
      <t>センタク</t>
    </rPh>
    <phoneticPr fontId="18"/>
  </si>
  <si>
    <t>地球温暖化対策のための税（日本）</t>
    <rPh sb="0" eb="7">
      <t>チキュウオンダンカ</t>
    </rPh>
    <rPh sb="11" eb="12">
      <t>ゼイ</t>
    </rPh>
    <rPh sb="13" eb="15">
      <t>ニホン</t>
    </rPh>
    <phoneticPr fontId="18"/>
  </si>
  <si>
    <t>円/kg-CO2</t>
    <rPh sb="0" eb="1">
      <t>エン</t>
    </rPh>
    <phoneticPr fontId="18"/>
  </si>
  <si>
    <t>http://www.meti.go.jp/committee/sankoushin/sangyougijutsu/kenkyu_hyoka/hyoka_wg/pdf/030_04_03_01.pdf</t>
  </si>
  <si>
    <t>火力発電所における二酸化炭素回収費用</t>
    <rPh sb="0" eb="5">
      <t>カリョクハツデンショ</t>
    </rPh>
    <rPh sb="9" eb="14">
      <t>ニサンカタンソ</t>
    </rPh>
    <rPh sb="14" eb="18">
      <t>カイシュウヒヨウ</t>
    </rPh>
    <phoneticPr fontId="18"/>
  </si>
  <si>
    <t>地位指数</t>
    <rPh sb="0" eb="4">
      <t>チイシスウ</t>
    </rPh>
    <phoneticPr fontId="18"/>
  </si>
  <si>
    <t>林齢／樹齢</t>
    <rPh sb="0" eb="2">
      <t>リンレイ</t>
    </rPh>
    <rPh sb="3" eb="5">
      <t>ジュレイ</t>
    </rPh>
    <phoneticPr fontId="18"/>
  </si>
  <si>
    <t>2σt*2を３等分した場合の２番目の</t>
    <rPh sb="7" eb="9">
      <t>トウブン</t>
    </rPh>
    <rPh sb="11" eb="13">
      <t>バアイ</t>
    </rPh>
    <rPh sb="15" eb="17">
      <t>バンメ</t>
    </rPh>
    <phoneticPr fontId="18"/>
  </si>
  <si>
    <t>地位指数</t>
    <rPh sb="0" eb="4">
      <t>チイ</t>
    </rPh>
    <phoneticPr fontId="18"/>
  </si>
  <si>
    <t>生育良／不良（Ht±2σの上下1/3)の樹高</t>
    <rPh sb="0" eb="2">
      <t>セイイク</t>
    </rPh>
    <rPh sb="2" eb="3">
      <t>リョウ</t>
    </rPh>
    <rPh sb="4" eb="6">
      <t>フリョウ</t>
    </rPh>
    <rPh sb="13" eb="15">
      <t>ジョウゲ</t>
    </rPh>
    <rPh sb="20" eb="22">
      <t>ジュコウ</t>
    </rPh>
    <phoneticPr fontId="18"/>
  </si>
  <si>
    <t>下限</t>
    <rPh sb="0" eb="2">
      <t>カゲン</t>
    </rPh>
    <phoneticPr fontId="18"/>
  </si>
  <si>
    <t>上限</t>
    <rPh sb="0" eb="2">
      <t>ジョウゲン</t>
    </rPh>
    <phoneticPr fontId="18"/>
  </si>
  <si>
    <t>生育良
Ht - (4/3)σt</t>
    <rPh sb="0" eb="2">
      <t>セイイク</t>
    </rPh>
    <rPh sb="2" eb="3">
      <t>リョウ</t>
    </rPh>
    <phoneticPr fontId="18"/>
  </si>
  <si>
    <t>生育不良
Ht + (4/3)σt</t>
    <rPh sb="0" eb="2">
      <t>セイイク</t>
    </rPh>
    <rPh sb="2" eb="4">
      <t>フリョウ</t>
    </rPh>
    <phoneticPr fontId="18"/>
  </si>
  <si>
    <t>※出典：　寺師健次 日林九支研論集No. 44 1991. 9 広葉樹林の施業に関する研究(III)</t>
    <rPh sb="1" eb="3">
      <t>シュッテン</t>
    </rPh>
    <phoneticPr fontId="18"/>
  </si>
  <si>
    <t>↑による確かめが右表</t>
    <rPh sb="4" eb="5">
      <t>タシ</t>
    </rPh>
    <rPh sb="8" eb="10">
      <t>ウヒョウ</t>
    </rPh>
    <phoneticPr fontId="18"/>
  </si>
  <si>
    <r>
      <t>①Ht = a + b * c</t>
    </r>
    <r>
      <rPr>
        <vertAlign val="superscript"/>
        <sz val="16"/>
        <color rgb="FFFF0000"/>
        <rFont val="ＭＳ Ｐゴシック"/>
        <family val="3"/>
        <charset val="128"/>
        <scheme val="minor"/>
      </rPr>
      <t>(林齢/5-1)</t>
    </r>
    <rPh sb="16" eb="18">
      <t>リン</t>
    </rPh>
    <phoneticPr fontId="18"/>
  </si>
  <si>
    <t>②Y = a * ln(林齢) + b</t>
    <rPh sb="12" eb="14">
      <t>リンレイ</t>
    </rPh>
    <phoneticPr fontId="18"/>
  </si>
  <si>
    <t>パラメータ</t>
    <phoneticPr fontId="18"/>
  </si>
  <si>
    <t>生育指数</t>
    <rPh sb="0" eb="4">
      <t>セイイクシスウ</t>
    </rPh>
    <phoneticPr fontId="18"/>
  </si>
  <si>
    <t>クーラー使用日数</t>
    <rPh sb="4" eb="6">
      <t>シヨウ</t>
    </rPh>
    <rPh sb="6" eb="8">
      <t>ニッスウ</t>
    </rPh>
    <phoneticPr fontId="18"/>
  </si>
  <si>
    <t>森林による吸収エネルギー(kW)</t>
    <rPh sb="0" eb="2">
      <t>シンリン</t>
    </rPh>
    <rPh sb="5" eb="7">
      <t>キュウシュウ</t>
    </rPh>
    <phoneticPr fontId="18"/>
  </si>
  <si>
    <t>水を蒸発させるのに必要な熱量(20℃)</t>
    <phoneticPr fontId="18"/>
  </si>
  <si>
    <t>kWh/g (kWh/ml)</t>
    <phoneticPr fontId="18"/>
  </si>
  <si>
    <t>④</t>
    <phoneticPr fontId="18"/>
  </si>
  <si>
    <t>室蘭</t>
  </si>
  <si>
    <t>業務用エアコンの冷房能力にかかる電力料金</t>
    <rPh sb="0" eb="3">
      <t>ギョウムヨウ</t>
    </rPh>
    <rPh sb="8" eb="10">
      <t>レイボウ</t>
    </rPh>
    <rPh sb="10" eb="12">
      <t>ノウリョク</t>
    </rPh>
    <rPh sb="16" eb="18">
      <t>デンリョク</t>
    </rPh>
    <rPh sb="18" eb="20">
      <t>リョウキン</t>
    </rPh>
    <phoneticPr fontId="18"/>
  </si>
  <si>
    <t>(円/h/kW)</t>
    <rPh sb="1" eb="2">
      <t>エン</t>
    </rPh>
    <phoneticPr fontId="18"/>
  </si>
  <si>
    <t>稼働時間=業務時間(h)</t>
    <rPh sb="0" eb="2">
      <t>カドウ</t>
    </rPh>
    <rPh sb="2" eb="4">
      <t>ジカン</t>
    </rPh>
    <rPh sb="5" eb="7">
      <t>ギョウム</t>
    </rPh>
    <rPh sb="7" eb="9">
      <t>ジカン</t>
    </rPh>
    <phoneticPr fontId="18"/>
  </si>
  <si>
    <t>稼働日数(日)</t>
    <rPh sb="0" eb="4">
      <t>カドウニッスウ</t>
    </rPh>
    <rPh sb="5" eb="6">
      <t>ニチ</t>
    </rPh>
    <phoneticPr fontId="18"/>
  </si>
  <si>
    <t>北見枝幸</t>
  </si>
  <si>
    <t>羽幌</t>
  </si>
  <si>
    <t>雄武</t>
  </si>
  <si>
    <t>苫小牧</t>
  </si>
  <si>
    <t>浦河</t>
  </si>
  <si>
    <t>紋別</t>
  </si>
  <si>
    <t>青森</t>
  </si>
  <si>
    <t>青森</t>
    <rPh sb="0" eb="2">
      <t>アオモリ</t>
    </rPh>
    <phoneticPr fontId="18"/>
  </si>
  <si>
    <t>むつ</t>
  </si>
  <si>
    <t>秋田</t>
  </si>
  <si>
    <t>盛岡</t>
  </si>
  <si>
    <t>宮古</t>
  </si>
  <si>
    <t>山形</t>
  </si>
  <si>
    <t>酒田</t>
  </si>
  <si>
    <t>福島</t>
  </si>
  <si>
    <t>福島</t>
    <rPh sb="0" eb="2">
      <t>フクシマ</t>
    </rPh>
    <phoneticPr fontId="18"/>
  </si>
  <si>
    <t>栃木</t>
    <rPh sb="0" eb="2">
      <t>トチギ</t>
    </rPh>
    <phoneticPr fontId="18"/>
  </si>
  <si>
    <t>宇都宮</t>
  </si>
  <si>
    <t>奥日光（日光）</t>
  </si>
  <si>
    <t>茨城</t>
    <rPh sb="0" eb="2">
      <t>イバラキ</t>
    </rPh>
    <phoneticPr fontId="18"/>
  </si>
  <si>
    <t>つくば（館野）</t>
  </si>
  <si>
    <t>水戸</t>
  </si>
  <si>
    <t>群馬</t>
    <rPh sb="0" eb="2">
      <t>グンマ</t>
    </rPh>
    <phoneticPr fontId="18"/>
  </si>
  <si>
    <t>前橋</t>
  </si>
  <si>
    <t>熊谷</t>
  </si>
  <si>
    <t>秩父</t>
  </si>
  <si>
    <t>銚子</t>
  </si>
  <si>
    <t>千葉</t>
  </si>
  <si>
    <t>東京</t>
  </si>
  <si>
    <t>大島</t>
  </si>
  <si>
    <t>三宅島</t>
  </si>
  <si>
    <t>八丈島</t>
  </si>
  <si>
    <t>神奈川</t>
    <rPh sb="0" eb="3">
      <t>カナガワ</t>
    </rPh>
    <phoneticPr fontId="18"/>
  </si>
  <si>
    <t>横浜</t>
  </si>
  <si>
    <t>新潟</t>
  </si>
  <si>
    <t>相川</t>
  </si>
  <si>
    <t>高田</t>
  </si>
  <si>
    <t>富山</t>
    <rPh sb="0" eb="2">
      <t>トヤマ</t>
    </rPh>
    <phoneticPr fontId="18"/>
  </si>
  <si>
    <t>伏木</t>
  </si>
  <si>
    <t>金沢</t>
  </si>
  <si>
    <t>輪島</t>
  </si>
  <si>
    <t>福井</t>
  </si>
  <si>
    <t>敦賀</t>
  </si>
  <si>
    <t>甲府</t>
  </si>
  <si>
    <t>河口湖</t>
  </si>
  <si>
    <t>長野</t>
  </si>
  <si>
    <t>諏訪</t>
  </si>
  <si>
    <t>軽井沢</t>
  </si>
  <si>
    <t>岐阜</t>
    <rPh sb="0" eb="2">
      <t>ギフ</t>
    </rPh>
    <phoneticPr fontId="18"/>
  </si>
  <si>
    <t>高山</t>
  </si>
  <si>
    <t>静岡</t>
    <rPh sb="0" eb="2">
      <t>シズオカ</t>
    </rPh>
    <phoneticPr fontId="18"/>
  </si>
  <si>
    <t>御前崎</t>
  </si>
  <si>
    <t>三島</t>
  </si>
  <si>
    <t>石廊崎</t>
  </si>
  <si>
    <t>愛知</t>
    <rPh sb="0" eb="2">
      <t>アイチ</t>
    </rPh>
    <phoneticPr fontId="18"/>
  </si>
  <si>
    <t>伊良湖</t>
  </si>
  <si>
    <t>三重</t>
    <rPh sb="0" eb="2">
      <t>ミエ</t>
    </rPh>
    <phoneticPr fontId="18"/>
  </si>
  <si>
    <t>津</t>
  </si>
  <si>
    <t>尾鷲</t>
  </si>
  <si>
    <t>彦根</t>
  </si>
  <si>
    <t>京都</t>
    <rPh sb="0" eb="2">
      <t>キョウト</t>
    </rPh>
    <phoneticPr fontId="18"/>
  </si>
  <si>
    <t>舞鶴</t>
  </si>
  <si>
    <t>大阪</t>
  </si>
  <si>
    <t>兵庫</t>
    <rPh sb="0" eb="2">
      <t>ヒョウゴ</t>
    </rPh>
    <phoneticPr fontId="18"/>
  </si>
  <si>
    <t>洲本</t>
  </si>
  <si>
    <t>和歌山</t>
    <rPh sb="0" eb="3">
      <t>ワカヤマ</t>
    </rPh>
    <phoneticPr fontId="18"/>
  </si>
  <si>
    <t>鳥取</t>
    <rPh sb="0" eb="2">
      <t>トットリ</t>
    </rPh>
    <phoneticPr fontId="18"/>
  </si>
  <si>
    <t>境</t>
  </si>
  <si>
    <t>浜田</t>
  </si>
  <si>
    <t>広島</t>
    <rPh sb="0" eb="2">
      <t>ヒロシマ</t>
    </rPh>
    <phoneticPr fontId="18"/>
  </si>
  <si>
    <t>福山</t>
  </si>
  <si>
    <t>多度津</t>
  </si>
  <si>
    <t>宿毛</t>
  </si>
  <si>
    <t>清水</t>
  </si>
  <si>
    <t>室戸岬</t>
  </si>
  <si>
    <t>福岡</t>
  </si>
  <si>
    <t>飯塚</t>
  </si>
  <si>
    <t>佐賀</t>
  </si>
  <si>
    <t>長崎</t>
  </si>
  <si>
    <t>厳原</t>
  </si>
  <si>
    <t>平戸</t>
  </si>
  <si>
    <t>佐世保</t>
  </si>
  <si>
    <t>松浦</t>
  </si>
  <si>
    <t>雲仙岳</t>
  </si>
  <si>
    <t>福江</t>
  </si>
  <si>
    <t>大分</t>
  </si>
  <si>
    <t>大分</t>
    <rPh sb="0" eb="2">
      <t>オオイタ</t>
    </rPh>
    <phoneticPr fontId="18"/>
  </si>
  <si>
    <t>日田</t>
  </si>
  <si>
    <t>熊本</t>
  </si>
  <si>
    <t>阿蘇山</t>
  </si>
  <si>
    <t>人吉</t>
  </si>
  <si>
    <t>牛深</t>
  </si>
  <si>
    <t>宮崎</t>
    <rPh sb="0" eb="2">
      <t>ミヤザキ</t>
    </rPh>
    <phoneticPr fontId="18"/>
  </si>
  <si>
    <t>都城</t>
  </si>
  <si>
    <t>油津</t>
  </si>
  <si>
    <t>鹿児島</t>
  </si>
  <si>
    <t>名瀬</t>
    <rPh sb="0" eb="2">
      <t>ナゼ</t>
    </rPh>
    <phoneticPr fontId="18"/>
  </si>
  <si>
    <t>鹿児島</t>
    <rPh sb="0" eb="3">
      <t>カゴシマ</t>
    </rPh>
    <phoneticPr fontId="18"/>
  </si>
  <si>
    <t>阿久根</t>
  </si>
  <si>
    <t>屋久島</t>
  </si>
  <si>
    <t>種子島</t>
  </si>
  <si>
    <t>沖永良部</t>
  </si>
  <si>
    <t>むつ</t>
    <phoneticPr fontId="18"/>
  </si>
  <si>
    <t>円</t>
    <rPh sb="0" eb="1">
      <t>エン</t>
    </rPh>
    <phoneticPr fontId="18"/>
  </si>
  <si>
    <t>※地方(地域)を反映(東北以北、北陸：30、それ以外：60)</t>
    <rPh sb="1" eb="3">
      <t>チホウ</t>
    </rPh>
    <rPh sb="4" eb="6">
      <t>チイキ</t>
    </rPh>
    <rPh sb="8" eb="10">
      <t>ハンエイ</t>
    </rPh>
    <rPh sb="11" eb="13">
      <t>トウホク</t>
    </rPh>
    <rPh sb="13" eb="15">
      <t>イホク</t>
    </rPh>
    <rPh sb="16" eb="18">
      <t>ホクリク</t>
    </rPh>
    <rPh sb="24" eb="26">
      <t>イガイ</t>
    </rPh>
    <phoneticPr fontId="18"/>
  </si>
  <si>
    <t>(kW)</t>
    <phoneticPr fontId="18"/>
  </si>
  <si>
    <t>森林の平均蒸発散量(mm/d)</t>
    <rPh sb="0" eb="2">
      <t>シンリン</t>
    </rPh>
    <rPh sb="3" eb="5">
      <t>ヘイキン</t>
    </rPh>
    <rPh sb="5" eb="8">
      <t>ジョウハツサン</t>
    </rPh>
    <rPh sb="8" eb="9">
      <t>リョウ</t>
    </rPh>
    <phoneticPr fontId="18"/>
  </si>
  <si>
    <t>森林の平均蒸散量</t>
    <rPh sb="0" eb="2">
      <t>シンリン</t>
    </rPh>
    <rPh sb="3" eb="5">
      <t>ヘイキン</t>
    </rPh>
    <rPh sb="5" eb="7">
      <t>ジョウサン</t>
    </rPh>
    <rPh sb="7" eb="8">
      <t>リョウ</t>
    </rPh>
    <phoneticPr fontId="18"/>
  </si>
  <si>
    <t>(mm/d)</t>
    <phoneticPr fontId="18"/>
  </si>
  <si>
    <t>都道府県</t>
    <rPh sb="0" eb="4">
      <t>トドウフケン</t>
    </rPh>
    <phoneticPr fontId="18"/>
  </si>
  <si>
    <t>入力値</t>
    <rPh sb="0" eb="3">
      <t>ニュウリョクチ</t>
    </rPh>
    <phoneticPr fontId="18"/>
  </si>
  <si>
    <t>※長谷場1967より１日の蒸散時間を10時〜18時の8時間を想定</t>
    <rPh sb="1" eb="3">
      <t>ハセ</t>
    </rPh>
    <rPh sb="3" eb="4">
      <t>バ</t>
    </rPh>
    <rPh sb="11" eb="12">
      <t>ニチ</t>
    </rPh>
    <rPh sb="13" eb="17">
      <t>ジョウサンジカン</t>
    </rPh>
    <rPh sb="20" eb="21">
      <t>ジ</t>
    </rPh>
    <rPh sb="24" eb="25">
      <t>ジ</t>
    </rPh>
    <rPh sb="27" eb="29">
      <t>ジカン</t>
    </rPh>
    <rPh sb="30" eb="32">
      <t>ソウテイ</t>
    </rPh>
    <phoneticPr fontId="18"/>
  </si>
  <si>
    <t>植林面積 (m2)</t>
    <rPh sb="0" eb="4">
      <t>ショクリンメンセキ</t>
    </rPh>
    <phoneticPr fontId="18"/>
  </si>
  <si>
    <r>
      <t>林冠の高さ</t>
    </r>
    <r>
      <rPr>
        <vertAlign val="superscript"/>
        <sz val="12"/>
        <color theme="1"/>
        <rFont val="ＭＳ Ｐゴシック"/>
        <family val="3"/>
        <charset val="128"/>
        <scheme val="minor"/>
      </rPr>
      <t>※</t>
    </r>
    <r>
      <rPr>
        <sz val="12"/>
        <color theme="1"/>
        <rFont val="ＭＳ Ｐゴシック"/>
        <family val="2"/>
        <charset val="128"/>
        <scheme val="minor"/>
      </rPr>
      <t>が</t>
    </r>
    <rPh sb="0" eb="2">
      <t>リンカン</t>
    </rPh>
    <rPh sb="3" eb="4">
      <t>タカ</t>
    </rPh>
    <phoneticPr fontId="18"/>
  </si>
  <si>
    <t>2013年の森林吸収系J-VERの平均価格</t>
    <phoneticPr fontId="18"/>
  </si>
  <si>
    <t>JBO2附属書</t>
    <rPh sb="4" eb="7">
      <t>フゾクショ</t>
    </rPh>
    <phoneticPr fontId="18"/>
  </si>
  <si>
    <t>ml</t>
    <phoneticPr fontId="18"/>
  </si>
  <si>
    <t>mm3</t>
    <phoneticPr fontId="18"/>
  </si>
  <si>
    <t>m3</t>
    <phoneticPr fontId="18"/>
  </si>
  <si>
    <t>円/ｍ３</t>
    <rPh sb="0" eb="1">
      <t>エン</t>
    </rPh>
    <phoneticPr fontId="18"/>
  </si>
  <si>
    <t>円/yr</t>
    <rPh sb="0" eb="1">
      <t>エン</t>
    </rPh>
    <phoneticPr fontId="18"/>
  </si>
  <si>
    <t>\/kWh</t>
    <phoneticPr fontId="18"/>
  </si>
  <si>
    <t>東京電力の電気代</t>
    <rPh sb="0" eb="2">
      <t>トウキョウ</t>
    </rPh>
    <rPh sb="2" eb="4">
      <t>デンリョク</t>
    </rPh>
    <rPh sb="5" eb="8">
      <t>デンキダイ</t>
    </rPh>
    <phoneticPr fontId="18"/>
  </si>
  <si>
    <t>\/m2/h</t>
    <phoneticPr fontId="18"/>
  </si>
  <si>
    <t>m2</t>
    <phoneticPr fontId="18"/>
  </si>
  <si>
    <t>ドライミスト有効面積</t>
    <rPh sb="6" eb="10">
      <t>ユウコウメンセキ</t>
    </rPh>
    <phoneticPr fontId="18"/>
  </si>
  <si>
    <t>kW/m2</t>
    <phoneticPr fontId="18"/>
  </si>
  <si>
    <t>kW</t>
    <phoneticPr fontId="18"/>
  </si>
  <si>
    <t>h</t>
    <phoneticPr fontId="18"/>
  </si>
  <si>
    <t>噴霧時間</t>
    <rPh sb="0" eb="4">
      <t>フンムジカン</t>
    </rPh>
    <phoneticPr fontId="18"/>
  </si>
  <si>
    <t>kW</t>
    <phoneticPr fontId="18"/>
  </si>
  <si>
    <t>消費電力</t>
    <rPh sb="0" eb="4">
      <t>ショウヒデンリョク</t>
    </rPh>
    <phoneticPr fontId="18"/>
  </si>
  <si>
    <t>0.15✕332時間</t>
    <rPh sb="8" eb="10">
      <t>ジカン</t>
    </rPh>
    <phoneticPr fontId="18"/>
  </si>
  <si>
    <t>kWh</t>
    <phoneticPr fontId="18"/>
  </si>
  <si>
    <t>\/yr</t>
    <phoneticPr fontId="18"/>
  </si>
  <si>
    <t>ml/min</t>
    <phoneticPr fontId="18"/>
  </si>
  <si>
    <t>ドライミスト噴霧速度</t>
    <rPh sb="6" eb="10">
      <t>フンムソクド</t>
    </rPh>
    <phoneticPr fontId="18"/>
  </si>
  <si>
    <t>年間ドライミスト噴霧量</t>
    <rPh sb="0" eb="2">
      <t>ネンカン</t>
    </rPh>
    <rPh sb="8" eb="11">
      <t>フンムリョウ</t>
    </rPh>
    <phoneticPr fontId="18"/>
  </si>
  <si>
    <t>kW/ml</t>
    <phoneticPr fontId="18"/>
  </si>
  <si>
    <t>1mlを噴霧するのに必要な電気量</t>
    <rPh sb="4" eb="6">
      <t>フンム</t>
    </rPh>
    <rPh sb="10" eb="12">
      <t>ヒツヨウ</t>
    </rPh>
    <rPh sb="13" eb="16">
      <t>デンキリョウ</t>
    </rPh>
    <phoneticPr fontId="18"/>
  </si>
  <si>
    <t>ml</t>
    <phoneticPr fontId="18"/>
  </si>
  <si>
    <t>16700m2の場合</t>
    <rPh sb="8" eb="10">
      <t>バアイ</t>
    </rPh>
    <phoneticPr fontId="18"/>
  </si>
  <si>
    <t>\/ml/h</t>
    <phoneticPr fontId="18"/>
  </si>
  <si>
    <t>\/yr</t>
    <phoneticPr fontId="18"/>
  </si>
  <si>
    <t>0.19\/m2/hから推定</t>
    <rPh sb="12" eb="14">
      <t>スイテイ</t>
    </rPh>
    <phoneticPr fontId="18"/>
  </si>
  <si>
    <t>水道料金</t>
    <rPh sb="0" eb="4">
      <t>スイドウリョウキン</t>
    </rPh>
    <phoneticPr fontId="18"/>
  </si>
  <si>
    <t>49.8 x 16.05</t>
    <phoneticPr fontId="18"/>
  </si>
  <si>
    <t>\/m2/h</t>
    <phoneticPr fontId="18"/>
  </si>
  <si>
    <t>電気代</t>
    <rPh sb="0" eb="3">
      <t>デンキダイ</t>
    </rPh>
    <phoneticPr fontId="18"/>
  </si>
  <si>
    <t>\/yr</t>
    <phoneticPr fontId="18"/>
  </si>
  <si>
    <t>mm/min</t>
    <phoneticPr fontId="18"/>
  </si>
  <si>
    <t>mm3/min</t>
    <phoneticPr fontId="18"/>
  </si>
  <si>
    <t>※名古屋の平均蒸散量3.48mm/dから計算した1m2あたりの蒸散速度</t>
    <rPh sb="1" eb="4">
      <t>ナゴヤ</t>
    </rPh>
    <rPh sb="5" eb="10">
      <t>ヘイキンジョウサンリョウ</t>
    </rPh>
    <rPh sb="20" eb="22">
      <t>ケイサン</t>
    </rPh>
    <rPh sb="31" eb="35">
      <t>ジョウサンソクド</t>
    </rPh>
    <phoneticPr fontId="18"/>
  </si>
  <si>
    <t>ml/min/m2</t>
    <phoneticPr fontId="18"/>
  </si>
  <si>
    <t>→ドライミストで基準としているクスノキの蒸散速度(7.5ml/min/m2)に近似</t>
    <rPh sb="8" eb="10">
      <t>キジュン</t>
    </rPh>
    <rPh sb="20" eb="24">
      <t>ジョウサンソクド</t>
    </rPh>
    <rPh sb="39" eb="41">
      <t>キンジ</t>
    </rPh>
    <phoneticPr fontId="18"/>
  </si>
  <si>
    <t>\/m2/min</t>
    <phoneticPr fontId="18"/>
  </si>
  <si>
    <t>\/ml</t>
    <phoneticPr fontId="18"/>
  </si>
  <si>
    <t>ml/min/m2</t>
    <phoneticPr fontId="18"/>
  </si>
  <si>
    <t>クスノキの夏季の蒸散速度</t>
    <rPh sb="5" eb="7">
      <t>カキ</t>
    </rPh>
    <rPh sb="8" eb="12">
      <t>ジョウサンソクド</t>
    </rPh>
    <phoneticPr fontId="18"/>
  </si>
  <si>
    <t>図解生物学データブック，丸善，671,1986（文献が弱い）</t>
    <rPh sb="24" eb="26">
      <t>ブンケン</t>
    </rPh>
    <rPh sb="27" eb="28">
      <t>ヨワ</t>
    </rPh>
    <phoneticPr fontId="18"/>
  </si>
  <si>
    <t>噴霧量あたりの電気代</t>
    <rPh sb="0" eb="3">
      <t>フンムリョウ</t>
    </rPh>
    <rPh sb="7" eb="10">
      <t>デンキダイ</t>
    </rPh>
    <phoneticPr fontId="18"/>
  </si>
  <si>
    <t>結果１（エアコンで代替した場合）</t>
    <rPh sb="0" eb="2">
      <t>ケッカ</t>
    </rPh>
    <rPh sb="9" eb="11">
      <t>ダイタイ</t>
    </rPh>
    <rPh sb="13" eb="15">
      <t>バアイ</t>
    </rPh>
    <phoneticPr fontId="18"/>
  </si>
  <si>
    <t>平均料金(円/m3/月)</t>
    <rPh sb="0" eb="4">
      <t>ヘイキンリョウキン</t>
    </rPh>
    <rPh sb="5" eb="6">
      <t>エン</t>
    </rPh>
    <rPh sb="10" eb="11">
      <t>ツキ</t>
    </rPh>
    <phoneticPr fontId="18"/>
  </si>
  <si>
    <t>宮城</t>
  </si>
  <si>
    <t>岩手</t>
  </si>
  <si>
    <t>香川</t>
  </si>
  <si>
    <t>島根</t>
  </si>
  <si>
    <t>石川</t>
  </si>
  <si>
    <t>愛媛</t>
  </si>
  <si>
    <t>兵庫</t>
  </si>
  <si>
    <t>滋賀</t>
  </si>
  <si>
    <t>山口</t>
  </si>
  <si>
    <t>二重</t>
  </si>
  <si>
    <t>埼玉</t>
  </si>
  <si>
    <t>愛知</t>
  </si>
  <si>
    <t>晶知</t>
  </si>
  <si>
    <t>山梨</t>
  </si>
  <si>
    <t>県別平均水道料金</t>
    <rPh sb="0" eb="2">
      <t>ケンベツ</t>
    </rPh>
    <rPh sb="2" eb="8">
      <t>ヘイキン</t>
    </rPh>
    <phoneticPr fontId="18"/>
  </si>
  <si>
    <t>業務用電力料金</t>
    <rPh sb="0" eb="3">
      <t>ギョウムヨウ</t>
    </rPh>
    <rPh sb="3" eb="5">
      <t>デンリョク</t>
    </rPh>
    <rPh sb="5" eb="7">
      <t>リョウキン</t>
    </rPh>
    <phoneticPr fontId="18"/>
  </si>
  <si>
    <t>(A)</t>
    <phoneticPr fontId="18"/>
  </si>
  <si>
    <t>総蒸散量</t>
    <rPh sb="0" eb="4">
      <t>ソウジョウサンリョウ</t>
    </rPh>
    <phoneticPr fontId="18"/>
  </si>
  <si>
    <t>ml/d</t>
    <phoneticPr fontId="18"/>
  </si>
  <si>
    <t>m3/d</t>
    <phoneticPr fontId="18"/>
  </si>
  <si>
    <t>二重県</t>
  </si>
  <si>
    <t>代替コスト(上水）</t>
    <rPh sb="0" eb="2">
      <t>ダイタイ</t>
    </rPh>
    <rPh sb="6" eb="8">
      <t>ジョウスイ</t>
    </rPh>
    <phoneticPr fontId="18"/>
  </si>
  <si>
    <t>ドライミスト　パラメータ</t>
    <phoneticPr fontId="18"/>
  </si>
  <si>
    <t>稼働時間</t>
    <rPh sb="0" eb="4">
      <t>カドウジカン</t>
    </rPh>
    <phoneticPr fontId="18"/>
  </si>
  <si>
    <t>愛知万博での実績値</t>
    <rPh sb="0" eb="4">
      <t>アイチバンパク</t>
    </rPh>
    <rPh sb="6" eb="9">
      <t>ジッセキチ</t>
    </rPh>
    <phoneticPr fontId="18"/>
  </si>
  <si>
    <t>h/yr</t>
    <phoneticPr fontId="18"/>
  </si>
  <si>
    <t>h</t>
    <phoneticPr fontId="18"/>
  </si>
  <si>
    <t>稼働時間=業務時間</t>
    <rPh sb="0" eb="2">
      <t>カドウ</t>
    </rPh>
    <rPh sb="2" eb="4">
      <t>ジカン</t>
    </rPh>
    <rPh sb="5" eb="7">
      <t>ギョウム</t>
    </rPh>
    <rPh sb="7" eb="9">
      <t>ジカン</t>
    </rPh>
    <phoneticPr fontId="18"/>
  </si>
  <si>
    <t>噴霧能力</t>
    <rPh sb="0" eb="4">
      <t>フンムノウリョク</t>
    </rPh>
    <phoneticPr fontId="18"/>
  </si>
  <si>
    <t>ml/min</t>
    <phoneticPr fontId="18"/>
  </si>
  <si>
    <t>有効面積</t>
    <rPh sb="0" eb="4">
      <t>ユウコウ</t>
    </rPh>
    <phoneticPr fontId="18"/>
  </si>
  <si>
    <t>クスノキの噴霧能力</t>
    <rPh sb="5" eb="9">
      <t>フンムノウリョク</t>
    </rPh>
    <phoneticPr fontId="18"/>
  </si>
  <si>
    <t>ml/min/m2</t>
    <phoneticPr fontId="18"/>
  </si>
  <si>
    <t>m2</t>
    <phoneticPr fontId="18"/>
  </si>
  <si>
    <t>総噴霧量</t>
    <rPh sb="0" eb="4">
      <t>ソウフンムリョウ</t>
    </rPh>
    <phoneticPr fontId="18"/>
  </si>
  <si>
    <t>ml</t>
    <phoneticPr fontId="18"/>
  </si>
  <si>
    <t>噴霧量あたりの消費電力</t>
    <rPh sb="0" eb="3">
      <t>フンムリョウ</t>
    </rPh>
    <rPh sb="7" eb="11">
      <t>ショウヒデンリョク</t>
    </rPh>
    <phoneticPr fontId="18"/>
  </si>
  <si>
    <t>総消費電力</t>
    <rPh sb="0" eb="5">
      <t>ソウショウヒデンリョ</t>
    </rPh>
    <phoneticPr fontId="18"/>
  </si>
  <si>
    <t>kWh</t>
    <phoneticPr fontId="18"/>
  </si>
  <si>
    <t>kWh/ml</t>
    <phoneticPr fontId="18"/>
  </si>
  <si>
    <t>噴霧量あたりの電気料金</t>
    <rPh sb="0" eb="3">
      <t>フンムリョウ</t>
    </rPh>
    <rPh sb="7" eb="11">
      <t>デンキリョウキン</t>
    </rPh>
    <phoneticPr fontId="18"/>
  </si>
  <si>
    <t>代替コスト（電気）</t>
    <rPh sb="0" eb="2">
      <t>ダイタイ</t>
    </rPh>
    <rPh sb="6" eb="8">
      <t>デンキ</t>
    </rPh>
    <phoneticPr fontId="18"/>
  </si>
  <si>
    <t>合計代替コスト</t>
    <rPh sb="0" eb="4">
      <t>ゴウケイダイタイ</t>
    </rPh>
    <phoneticPr fontId="18"/>
  </si>
  <si>
    <t>蒸散量</t>
    <rPh sb="0" eb="3">
      <t>ジョウサンリョウ</t>
    </rPh>
    <phoneticPr fontId="18"/>
  </si>
  <si>
    <t>m3/年</t>
    <rPh sb="3" eb="4">
      <t>ネン</t>
    </rPh>
    <phoneticPr fontId="18"/>
  </si>
  <si>
    <t>パラメータ</t>
    <phoneticPr fontId="18"/>
  </si>
  <si>
    <r>
      <t>b(初期値)</t>
    </r>
    <r>
      <rPr>
        <vertAlign val="superscript"/>
        <sz val="12"/>
        <color theme="1"/>
        <rFont val="ＭＳ Ｐゴシック"/>
        <family val="3"/>
        <charset val="128"/>
        <scheme val="minor"/>
      </rPr>
      <t>※</t>
    </r>
    <rPh sb="2" eb="5">
      <t>ショキチ</t>
    </rPh>
    <phoneticPr fontId="18"/>
  </si>
  <si>
    <t>代替機能</t>
    <rPh sb="0" eb="4">
      <t>ダイタイキノウ</t>
    </rPh>
    <phoneticPr fontId="18"/>
  </si>
  <si>
    <t>機能</t>
    <rPh sb="0" eb="2">
      <t>キノウ</t>
    </rPh>
    <phoneticPr fontId="18"/>
  </si>
  <si>
    <t>年間電気料金</t>
    <rPh sb="0" eb="2">
      <t>ネンカン</t>
    </rPh>
    <rPh sb="2" eb="4">
      <t>デンキ</t>
    </rPh>
    <rPh sb="4" eb="6">
      <t>リョウキン</t>
    </rPh>
    <phoneticPr fontId="18"/>
  </si>
  <si>
    <t>kW</t>
    <phoneticPr fontId="18"/>
  </si>
  <si>
    <t>森林による年間吸収熱量</t>
    <rPh sb="0" eb="2">
      <t>シンリン</t>
    </rPh>
    <rPh sb="5" eb="7">
      <t>ネンカン</t>
    </rPh>
    <rPh sb="7" eb="11">
      <t>キュウシュウネツリョウ</t>
    </rPh>
    <phoneticPr fontId="18"/>
  </si>
  <si>
    <t>電気料金</t>
    <rPh sb="0" eb="4">
      <t>デンキリョウキン</t>
    </rPh>
    <phoneticPr fontId="18"/>
  </si>
  <si>
    <t>備考</t>
    <rPh sb="0" eb="2">
      <t>ビコウ</t>
    </rPh>
    <phoneticPr fontId="18"/>
  </si>
  <si>
    <t>結果</t>
  </si>
  <si>
    <t>パラメータ</t>
  </si>
  <si>
    <t>Pn</t>
    <phoneticPr fontId="18"/>
  </si>
  <si>
    <t>条件</t>
    <rPh sb="0" eb="2">
      <t>ジョウケン</t>
    </rPh>
    <phoneticPr fontId="18"/>
  </si>
  <si>
    <t>使用データ　②</t>
    <rPh sb="0" eb="2">
      <t>シヨウ</t>
    </rPh>
    <phoneticPr fontId="18"/>
  </si>
  <si>
    <t>Pg</t>
    <phoneticPr fontId="18"/>
  </si>
  <si>
    <t>2013年平均濃度</t>
    <rPh sb="4" eb="7">
      <t>ネンヘイキン</t>
    </rPh>
    <rPh sb="7" eb="9">
      <t>ノウド</t>
    </rPh>
    <phoneticPr fontId="18"/>
  </si>
  <si>
    <t>円/kg-NO2</t>
    <rPh sb="0" eb="1">
      <t>エン</t>
    </rPh>
    <phoneticPr fontId="18"/>
  </si>
  <si>
    <t>常緑広葉樹</t>
    <rPh sb="0" eb="2">
      <t>ジョウリョク</t>
    </rPh>
    <rPh sb="2" eb="5">
      <t>コウヨウジュ</t>
    </rPh>
    <phoneticPr fontId="18"/>
  </si>
  <si>
    <t>NO2(μg/cm3)</t>
    <phoneticPr fontId="18"/>
  </si>
  <si>
    <t>SO2(μg/cm3)</t>
    <phoneticPr fontId="18"/>
  </si>
  <si>
    <t>光化学オキシダント(O3)</t>
    <rPh sb="0" eb="3">
      <t>コウカガク</t>
    </rPh>
    <phoneticPr fontId="18"/>
  </si>
  <si>
    <t>円/kg-SO2</t>
    <rPh sb="0" eb="1">
      <t>エン</t>
    </rPh>
    <phoneticPr fontId="18"/>
  </si>
  <si>
    <t>O3(光化学オキシダント)</t>
    <rPh sb="3" eb="6">
      <t>コウカガク</t>
    </rPh>
    <phoneticPr fontId="18"/>
  </si>
  <si>
    <t>円/kg-O3</t>
    <rPh sb="0" eb="1">
      <t>エン</t>
    </rPh>
    <phoneticPr fontId="18"/>
  </si>
  <si>
    <t>NO2吸収量</t>
    <rPh sb="3" eb="5">
      <t>キュウシュウ</t>
    </rPh>
    <rPh sb="5" eb="6">
      <t>リョウ</t>
    </rPh>
    <phoneticPr fontId="18"/>
  </si>
  <si>
    <t>(kg-NO2/m2/yr)</t>
    <phoneticPr fontId="40"/>
  </si>
  <si>
    <t>※単位はCO2吸収量の単位と同じになる</t>
    <rPh sb="1" eb="3">
      <t>タンイ</t>
    </rPh>
    <rPh sb="7" eb="9">
      <t>キュウシュウ</t>
    </rPh>
    <rPh sb="9" eb="10">
      <t>リョウ</t>
    </rPh>
    <rPh sb="11" eb="13">
      <t>タンイ</t>
    </rPh>
    <rPh sb="14" eb="15">
      <t>オナ</t>
    </rPh>
    <phoneticPr fontId="18"/>
  </si>
  <si>
    <t>落葉広葉樹</t>
    <rPh sb="0" eb="2">
      <t>ラクヨウ</t>
    </rPh>
    <rPh sb="2" eb="5">
      <t>コウヨウジュ</t>
    </rPh>
    <phoneticPr fontId="18"/>
  </si>
  <si>
    <t>O2</t>
    <phoneticPr fontId="18"/>
  </si>
  <si>
    <t>酸素供給原単位</t>
    <rPh sb="0" eb="2">
      <t>サンソ</t>
    </rPh>
    <rPh sb="2" eb="4">
      <t>キョウキュウ</t>
    </rPh>
    <rPh sb="4" eb="5">
      <t>ハラ</t>
    </rPh>
    <rPh sb="5" eb="7">
      <t>タンイ</t>
    </rPh>
    <phoneticPr fontId="18"/>
  </si>
  <si>
    <t>円/kg-O2</t>
    <rPh sb="0" eb="1">
      <t>エン</t>
    </rPh>
    <phoneticPr fontId="18"/>
  </si>
  <si>
    <t>SO2吸収量</t>
    <rPh sb="3" eb="5">
      <t>キュウシュウ</t>
    </rPh>
    <rPh sb="5" eb="6">
      <t>リョウ</t>
    </rPh>
    <phoneticPr fontId="18"/>
  </si>
  <si>
    <t>(kg-SO2/m2/yr)</t>
    <phoneticPr fontId="40"/>
  </si>
  <si>
    <t>落葉針葉樹</t>
    <rPh sb="0" eb="2">
      <t>ラクヨウ</t>
    </rPh>
    <rPh sb="2" eb="5">
      <t>シンヨウジュ</t>
    </rPh>
    <phoneticPr fontId="18"/>
  </si>
  <si>
    <t>O3(光化学オキシダント)吸収量</t>
    <rPh sb="3" eb="6">
      <t>コウカガク</t>
    </rPh>
    <rPh sb="13" eb="15">
      <t>キュウシュウ</t>
    </rPh>
    <rPh sb="15" eb="16">
      <t>リョウ</t>
    </rPh>
    <phoneticPr fontId="18"/>
  </si>
  <si>
    <t>(kg-O3/m2/yr)</t>
    <phoneticPr fontId="18"/>
  </si>
  <si>
    <t>その他緑地</t>
    <rPh sb="2" eb="3">
      <t>タ</t>
    </rPh>
    <rPh sb="3" eb="5">
      <t>リョクチ</t>
    </rPh>
    <phoneticPr fontId="18"/>
  </si>
  <si>
    <t>O2放出量</t>
    <rPh sb="2" eb="4">
      <t>ホウシュツ</t>
    </rPh>
    <rPh sb="4" eb="5">
      <t>リョウ</t>
    </rPh>
    <phoneticPr fontId="18"/>
  </si>
  <si>
    <t>(kg-O2/m2/yr)</t>
  </si>
  <si>
    <t>Pg=Pn/係数</t>
    <rPh sb="6" eb="8">
      <t>ケイスウ</t>
    </rPh>
    <phoneticPr fontId="18"/>
  </si>
  <si>
    <t>Pn=吸収量/1.63</t>
    <rPh sb="3" eb="5">
      <t>キュウシュウ</t>
    </rPh>
    <rPh sb="5" eb="6">
      <t>リョウ</t>
    </rPh>
    <phoneticPr fontId="18"/>
  </si>
  <si>
    <t>NO2</t>
    <phoneticPr fontId="18"/>
  </si>
  <si>
    <t>円/m2/yr</t>
    <rPh sb="0" eb="1">
      <t>エン</t>
    </rPh>
    <phoneticPr fontId="18"/>
  </si>
  <si>
    <t>SO2</t>
    <phoneticPr fontId="18"/>
  </si>
  <si>
    <t>O2</t>
    <phoneticPr fontId="18"/>
  </si>
  <si>
    <t>入力値</t>
    <rPh sb="0" eb="2">
      <t>ニュウリョク</t>
    </rPh>
    <rPh sb="2" eb="3">
      <t>アタイ</t>
    </rPh>
    <phoneticPr fontId="18"/>
  </si>
  <si>
    <t>植林面積(m2)</t>
    <rPh sb="0" eb="4">
      <t>ショクリンメンセキ</t>
    </rPh>
    <phoneticPr fontId="18"/>
  </si>
  <si>
    <t>経済価値原単位</t>
    <rPh sb="0" eb="4">
      <t>ケイザイカチ</t>
    </rPh>
    <rPh sb="4" eb="7">
      <t>ゲンタンイ</t>
    </rPh>
    <phoneticPr fontId="18"/>
  </si>
  <si>
    <t>経済価値（年間）</t>
    <rPh sb="0" eb="4">
      <t>ケイザイカチ</t>
    </rPh>
    <rPh sb="5" eb="7">
      <t>ネンカン</t>
    </rPh>
    <phoneticPr fontId="18"/>
  </si>
  <si>
    <t>(kg-NO2/yr)</t>
    <phoneticPr fontId="40"/>
  </si>
  <si>
    <t>(kg-SO2/yr)</t>
    <phoneticPr fontId="40"/>
  </si>
  <si>
    <t>(kg-O3/yr)</t>
    <phoneticPr fontId="18"/>
  </si>
  <si>
    <t>(kg-O2/yr)</t>
    <phoneticPr fontId="18"/>
  </si>
  <si>
    <t>吸収・排出単位量</t>
    <rPh sb="0" eb="2">
      <t>キュウシュウ</t>
    </rPh>
    <rPh sb="3" eb="5">
      <t>ハイシュツ</t>
    </rPh>
    <rPh sb="5" eb="8">
      <t>タンイリョウ</t>
    </rPh>
    <phoneticPr fontId="18"/>
  </si>
  <si>
    <t>吸収・排出総量（年間）</t>
    <rPh sb="0" eb="2">
      <t>キュウシュウ</t>
    </rPh>
    <rPh sb="3" eb="5">
      <t>ハイシュツ</t>
    </rPh>
    <rPh sb="5" eb="7">
      <t>ソウリョウ</t>
    </rPh>
    <rPh sb="8" eb="10">
      <t>ネンカン</t>
    </rPh>
    <phoneticPr fontId="18"/>
  </si>
  <si>
    <r>
      <t>kg-NO</t>
    </r>
    <r>
      <rPr>
        <vertAlign val="subscript"/>
        <sz val="12"/>
        <color theme="1"/>
        <rFont val="ＭＳ Ｐゴシック"/>
        <family val="3"/>
        <charset val="128"/>
        <scheme val="minor"/>
      </rPr>
      <t>2</t>
    </r>
    <r>
      <rPr>
        <sz val="12"/>
        <color theme="1"/>
        <rFont val="ＭＳ Ｐゴシック"/>
        <family val="2"/>
        <charset val="128"/>
        <scheme val="minor"/>
      </rPr>
      <t>/年</t>
    </r>
    <rPh sb="7" eb="8">
      <t>ネン</t>
    </rPh>
    <phoneticPr fontId="18"/>
  </si>
  <si>
    <r>
      <t>kg-SO</t>
    </r>
    <r>
      <rPr>
        <vertAlign val="subscript"/>
        <sz val="12"/>
        <color theme="1"/>
        <rFont val="ＭＳ Ｐゴシック"/>
        <family val="3"/>
        <charset val="128"/>
        <scheme val="minor"/>
      </rPr>
      <t>2</t>
    </r>
    <r>
      <rPr>
        <sz val="12"/>
        <color theme="1"/>
        <rFont val="ＭＳ Ｐゴシック"/>
        <family val="2"/>
        <charset val="128"/>
        <scheme val="minor"/>
      </rPr>
      <t>/年</t>
    </r>
    <rPh sb="7" eb="8">
      <t>ネン</t>
    </rPh>
    <phoneticPr fontId="18"/>
  </si>
  <si>
    <r>
      <t>kg-O</t>
    </r>
    <r>
      <rPr>
        <vertAlign val="subscript"/>
        <sz val="12"/>
        <color theme="1"/>
        <rFont val="ＭＳ Ｐゴシック"/>
        <family val="3"/>
        <charset val="128"/>
        <scheme val="minor"/>
      </rPr>
      <t>3</t>
    </r>
    <r>
      <rPr>
        <sz val="12"/>
        <color theme="1"/>
        <rFont val="ＭＳ Ｐゴシック"/>
        <family val="2"/>
        <charset val="128"/>
        <scheme val="minor"/>
      </rPr>
      <t>/年</t>
    </r>
    <rPh sb="6" eb="7">
      <t>ネン</t>
    </rPh>
    <phoneticPr fontId="18"/>
  </si>
  <si>
    <r>
      <t>kg-O</t>
    </r>
    <r>
      <rPr>
        <vertAlign val="subscript"/>
        <sz val="12"/>
        <color theme="1"/>
        <rFont val="ＭＳ Ｐゴシック"/>
        <family val="3"/>
        <charset val="128"/>
        <scheme val="minor"/>
      </rPr>
      <t>2</t>
    </r>
    <r>
      <rPr>
        <sz val="12"/>
        <color theme="1"/>
        <rFont val="ＭＳ Ｐゴシック"/>
        <family val="2"/>
        <charset val="128"/>
        <scheme val="minor"/>
      </rPr>
      <t>/年</t>
    </r>
    <rPh sb="6" eb="7">
      <t>ネン</t>
    </rPh>
    <phoneticPr fontId="18"/>
  </si>
  <si>
    <t>CO2分子量</t>
    <rPh sb="3" eb="6">
      <t>ブンシリョウ</t>
    </rPh>
    <phoneticPr fontId="18"/>
  </si>
  <si>
    <t>H2O分子量</t>
    <rPh sb="3" eb="6">
      <t>ブンシリョウ</t>
    </rPh>
    <phoneticPr fontId="18"/>
  </si>
  <si>
    <t>g/mol</t>
    <phoneticPr fontId="18"/>
  </si>
  <si>
    <t>固定量
(kg-CO2/m2)</t>
    <rPh sb="0" eb="2">
      <t>コテイリョウ</t>
    </rPh>
    <rPh sb="2" eb="3">
      <t>キュウシュウリョウ</t>
    </rPh>
    <phoneticPr fontId="18"/>
  </si>
  <si>
    <t>固定量
(t-C/ha)</t>
    <rPh sb="0" eb="3">
      <t>コテイリョウ</t>
    </rPh>
    <phoneticPr fontId="18"/>
  </si>
  <si>
    <t>総固定量
(kg-CO2)</t>
    <rPh sb="0" eb="4">
      <t>ソウキュウシュウリョウ</t>
    </rPh>
    <phoneticPr fontId="18"/>
  </si>
  <si>
    <t>固定量
(t-C/ha/yr)</t>
    <rPh sb="0" eb="2">
      <t>コテイ</t>
    </rPh>
    <rPh sb="2" eb="3">
      <t>キュウシュウリョウ</t>
    </rPh>
    <phoneticPr fontId="18"/>
  </si>
  <si>
    <t>固定量
(kg-CO2/m2/yr)</t>
    <rPh sb="0" eb="3">
      <t>コテイリョウ</t>
    </rPh>
    <phoneticPr fontId="18"/>
  </si>
  <si>
    <t>kg-H2O/年</t>
    <rPh sb="7" eb="8">
      <t>ネン</t>
    </rPh>
    <phoneticPr fontId="18"/>
  </si>
  <si>
    <t>m3-H2O/年</t>
    <rPh sb="7" eb="8">
      <t>ネン</t>
    </rPh>
    <phoneticPr fontId="18"/>
  </si>
  <si>
    <r>
      <t>kg-H</t>
    </r>
    <r>
      <rPr>
        <vertAlign val="subscript"/>
        <sz val="12"/>
        <color theme="1"/>
        <rFont val="ＭＳ Ｐゴシック"/>
        <family val="3"/>
        <charset val="128"/>
        <scheme val="minor"/>
      </rPr>
      <t>2</t>
    </r>
    <r>
      <rPr>
        <sz val="12"/>
        <color theme="1"/>
        <rFont val="ＭＳ Ｐゴシック"/>
        <family val="2"/>
        <charset val="128"/>
        <scheme val="minor"/>
      </rPr>
      <t>O/年</t>
    </r>
    <rPh sb="7" eb="8">
      <t>ネン</t>
    </rPh>
    <phoneticPr fontId="18"/>
  </si>
  <si>
    <t>光化学オキシダントの前駆物質の１つがNO2であることから、1モルあたりのNO2吸収と同額と仮定（環境省平成26年光化学オキシダント調査検討会報告書.p9、Davit J Nowark et al.2006など）</t>
    <rPh sb="0" eb="9">
      <t>コウカガクオk</t>
    </rPh>
    <rPh sb="10" eb="14">
      <t>ゼンクブッシツ</t>
    </rPh>
    <rPh sb="39" eb="41">
      <t>キュウシュウ</t>
    </rPh>
    <rPh sb="42" eb="44">
      <t>ドウガク</t>
    </rPh>
    <rPh sb="45" eb="47">
      <t>カテイ</t>
    </rPh>
    <phoneticPr fontId="18"/>
  </si>
  <si>
    <t>液体酸素落札価格（産総研）</t>
    <rPh sb="0" eb="8">
      <t>エキタイサンソラクサツカカク</t>
    </rPh>
    <rPh sb="9" eb="12">
      <t>サンソウケン</t>
    </rPh>
    <phoneticPr fontId="18"/>
  </si>
  <si>
    <t>m2</t>
    <phoneticPr fontId="18"/>
  </si>
  <si>
    <t>t-C/ha/yr</t>
    <phoneticPr fontId="18"/>
  </si>
  <si>
    <t>t/ha/yr</t>
    <phoneticPr fontId="18"/>
  </si>
  <si>
    <t>植林面積</t>
    <rPh sb="0" eb="4">
      <t>ショクリン</t>
    </rPh>
    <phoneticPr fontId="18"/>
  </si>
  <si>
    <t>炭素固定量</t>
    <rPh sb="0" eb="2">
      <t>タンソ</t>
    </rPh>
    <rPh sb="2" eb="4">
      <t>コテイ</t>
    </rPh>
    <rPh sb="4" eb="5">
      <t>キュウシュウリョウ</t>
    </rPh>
    <phoneticPr fontId="18"/>
  </si>
  <si>
    <t>炭素固定量で炭素含有量を50%としているので、割戻し</t>
    <rPh sb="0" eb="4">
      <t>タンソコテイ</t>
    </rPh>
    <rPh sb="4" eb="5">
      <t>リョウ</t>
    </rPh>
    <rPh sb="6" eb="11">
      <t>タンソガン</t>
    </rPh>
    <rPh sb="23" eb="25">
      <t>ワリモド</t>
    </rPh>
    <phoneticPr fontId="18"/>
  </si>
  <si>
    <t>ha</t>
    <phoneticPr fontId="18"/>
  </si>
  <si>
    <t>単位面積あたり
バイオマス増加量</t>
    <rPh sb="0" eb="4">
      <t>タンイメンセキ</t>
    </rPh>
    <rPh sb="13" eb="16">
      <t>ゾウカリョウ</t>
    </rPh>
    <phoneticPr fontId="18"/>
  </si>
  <si>
    <t>t/yr</t>
    <phoneticPr fontId="18"/>
  </si>
  <si>
    <t>田</t>
    <rPh sb="0" eb="1">
      <t>タ</t>
    </rPh>
    <phoneticPr fontId="18"/>
  </si>
  <si>
    <t>その他の農用地</t>
    <rPh sb="2" eb="3">
      <t>タ</t>
    </rPh>
    <rPh sb="4" eb="7">
      <t>ノウヨウチ</t>
    </rPh>
    <phoneticPr fontId="18"/>
  </si>
  <si>
    <t>森林</t>
    <rPh sb="0" eb="2">
      <t>シンリン</t>
    </rPh>
    <phoneticPr fontId="18"/>
  </si>
  <si>
    <t>荒れ地</t>
    <rPh sb="0" eb="1">
      <t>ア</t>
    </rPh>
    <rPh sb="2" eb="3">
      <t>チ</t>
    </rPh>
    <phoneticPr fontId="18"/>
  </si>
  <si>
    <t>建物用地</t>
    <rPh sb="0" eb="2">
      <t>タテモノ</t>
    </rPh>
    <rPh sb="2" eb="4">
      <t>ヨウチ</t>
    </rPh>
    <phoneticPr fontId="18"/>
  </si>
  <si>
    <t>幹線交通用地</t>
    <rPh sb="0" eb="2">
      <t>カンセン</t>
    </rPh>
    <rPh sb="2" eb="4">
      <t>コウツウ</t>
    </rPh>
    <rPh sb="4" eb="6">
      <t>ヨウチ</t>
    </rPh>
    <phoneticPr fontId="18"/>
  </si>
  <si>
    <t>その他の用地</t>
    <rPh sb="2" eb="3">
      <t>タ</t>
    </rPh>
    <rPh sb="4" eb="6">
      <t>ヨウチ</t>
    </rPh>
    <phoneticPr fontId="18"/>
  </si>
  <si>
    <t>河川地および湖沼</t>
    <rPh sb="0" eb="2">
      <t>カセン</t>
    </rPh>
    <rPh sb="2" eb="3">
      <t>チ</t>
    </rPh>
    <rPh sb="6" eb="8">
      <t>コショウ</t>
    </rPh>
    <phoneticPr fontId="18"/>
  </si>
  <si>
    <t>海浜</t>
    <rPh sb="0" eb="2">
      <t>カイヒン</t>
    </rPh>
    <phoneticPr fontId="18"/>
  </si>
  <si>
    <t>ゴルフ場</t>
    <rPh sb="3" eb="4">
      <t>ジョウ</t>
    </rPh>
    <phoneticPr fontId="18"/>
  </si>
  <si>
    <t>土地利用</t>
    <rPh sb="0" eb="4">
      <t>トチリヨウ</t>
    </rPh>
    <phoneticPr fontId="18"/>
  </si>
  <si>
    <t>アルベド</t>
    <phoneticPr fontId="18"/>
  </si>
  <si>
    <t>最大蒸発散比</t>
    <rPh sb="0" eb="2">
      <t>サイダイ</t>
    </rPh>
    <rPh sb="2" eb="5">
      <t>ジョウハッサン</t>
    </rPh>
    <rPh sb="5" eb="6">
      <t>ヒ</t>
    </rPh>
    <phoneticPr fontId="18"/>
  </si>
  <si>
    <t>土壌湿潤度</t>
    <rPh sb="0" eb="2">
      <t>ドジョウ</t>
    </rPh>
    <rPh sb="2" eb="4">
      <t>シツジュン</t>
    </rPh>
    <rPh sb="4" eb="5">
      <t>ド</t>
    </rPh>
    <phoneticPr fontId="18"/>
  </si>
  <si>
    <t>蒸発散係数</t>
    <rPh sb="0" eb="3">
      <t>ジョウハッサン</t>
    </rPh>
    <rPh sb="3" eb="5">
      <t>ケイスウ</t>
    </rPh>
    <phoneticPr fontId="18"/>
  </si>
  <si>
    <t>蒸発散比</t>
    <rPh sb="0" eb="3">
      <t>ジョウハッサン</t>
    </rPh>
    <rPh sb="3" eb="4">
      <t>ヒ</t>
    </rPh>
    <phoneticPr fontId="18"/>
  </si>
  <si>
    <r>
      <t>平均料金(円/m</t>
    </r>
    <r>
      <rPr>
        <vertAlign val="superscript"/>
        <sz val="11"/>
        <color theme="1"/>
        <rFont val="ＭＳ Ｐゴシック"/>
        <family val="3"/>
        <charset val="128"/>
        <scheme val="minor"/>
      </rPr>
      <t>3</t>
    </r>
    <r>
      <rPr>
        <sz val="11"/>
        <color theme="1"/>
        <rFont val="ＭＳ Ｐゴシック"/>
        <family val="2"/>
        <charset val="128"/>
        <scheme val="minor"/>
      </rPr>
      <t>/月)</t>
    </r>
    <rPh sb="0" eb="4">
      <t>ヘイキンリョウキン</t>
    </rPh>
    <rPh sb="5" eb="6">
      <t>エン</t>
    </rPh>
    <rPh sb="10" eb="11">
      <t>ツキ</t>
    </rPh>
    <phoneticPr fontId="18"/>
  </si>
  <si>
    <t>以前の土地利用</t>
    <rPh sb="0" eb="2">
      <t>イゼン</t>
    </rPh>
    <rPh sb="3" eb="7">
      <t>トチリヨウ</t>
    </rPh>
    <phoneticPr fontId="18"/>
  </si>
  <si>
    <t>植林前の土地利用</t>
    <rPh sb="0" eb="2">
      <t>ショクリン</t>
    </rPh>
    <rPh sb="2" eb="3">
      <t>マエ</t>
    </rPh>
    <rPh sb="4" eb="8">
      <t>トチリヨウ</t>
    </rPh>
    <phoneticPr fontId="18"/>
  </si>
  <si>
    <t>→プルダウンメニューから選択</t>
    <rPh sb="12" eb="14">
      <t>センタク</t>
    </rPh>
    <phoneticPr fontId="18"/>
  </si>
  <si>
    <t>植林前の土地利用を考慮した実質蒸散量</t>
    <rPh sb="0" eb="2">
      <t>ショクリン</t>
    </rPh>
    <rPh sb="2" eb="3">
      <t>マエ</t>
    </rPh>
    <rPh sb="4" eb="8">
      <t>トチリヨウ</t>
    </rPh>
    <rPh sb="9" eb="11">
      <t>コウリョ</t>
    </rPh>
    <rPh sb="13" eb="15">
      <t>ジッシツ</t>
    </rPh>
    <rPh sb="15" eb="18">
      <t>ジョウサンリョウ</t>
    </rPh>
    <phoneticPr fontId="18"/>
  </si>
  <si>
    <t>(mm/d)</t>
    <phoneticPr fontId="18"/>
  </si>
  <si>
    <t>Tool for Economic Evaluation of Tree-Planting</t>
    <phoneticPr fontId="18"/>
  </si>
  <si>
    <t>I. Input Information</t>
    <phoneticPr fontId="18"/>
  </si>
  <si>
    <t>Input necessary information into blue cells</t>
    <phoneticPr fontId="18"/>
  </si>
  <si>
    <t>(1) Site Information</t>
    <phoneticPr fontId="18"/>
  </si>
  <si>
    <t>Site Name</t>
    <phoneticPr fontId="18"/>
  </si>
  <si>
    <t>Prefecture</t>
    <phoneticPr fontId="18"/>
  </si>
  <si>
    <t>Area</t>
    <phoneticPr fontId="18"/>
  </si>
  <si>
    <t>(2) Tree-Planting Information</t>
    <phoneticPr fontId="18"/>
  </si>
  <si>
    <r>
      <rPr>
        <sz val="12"/>
        <color theme="1"/>
        <rFont val="ＭＳ Ｐゴシック"/>
        <family val="3"/>
        <charset val="128"/>
        <scheme val="minor"/>
      </rPr>
      <t>Planted Area</t>
    </r>
    <r>
      <rPr>
        <sz val="12"/>
        <color theme="1"/>
        <rFont val="ＭＳ Ｐゴシック"/>
        <family val="2"/>
        <charset val="128"/>
        <scheme val="minor"/>
      </rPr>
      <t xml:space="preserve"> (m</t>
    </r>
    <r>
      <rPr>
        <vertAlign val="superscript"/>
        <sz val="12"/>
        <color theme="1"/>
        <rFont val="ＭＳ Ｐゴシック"/>
        <family val="3"/>
        <charset val="128"/>
        <scheme val="minor"/>
      </rPr>
      <t>2</t>
    </r>
    <r>
      <rPr>
        <sz val="12"/>
        <color theme="1"/>
        <rFont val="ＭＳ Ｐゴシック"/>
        <family val="2"/>
        <charset val="128"/>
        <scheme val="minor"/>
      </rPr>
      <t>)</t>
    </r>
    <phoneticPr fontId="18"/>
  </si>
  <si>
    <t>Land Use Before Planting</t>
    <phoneticPr fontId="18"/>
  </si>
  <si>
    <t>Passed Year</t>
    <phoneticPr fontId="18"/>
  </si>
  <si>
    <t>Major Tree Type</t>
    <phoneticPr fontId="18"/>
  </si>
  <si>
    <t>Growth Status</t>
    <phoneticPr fontId="18"/>
  </si>
  <si>
    <t>Criteria for Growth Status</t>
    <phoneticPr fontId="18"/>
  </si>
  <si>
    <t>higher than</t>
    <phoneticPr fontId="18"/>
  </si>
  <si>
    <t>m</t>
    <phoneticPr fontId="18"/>
  </si>
  <si>
    <t>lower than</t>
    <phoneticPr fontId="18"/>
  </si>
  <si>
    <t>but higher than</t>
    <phoneticPr fontId="18"/>
  </si>
  <si>
    <t>m</t>
    <phoneticPr fontId="18"/>
  </si>
  <si>
    <t>Good</t>
    <phoneticPr fontId="18"/>
  </si>
  <si>
    <t>Intermediate</t>
  </si>
  <si>
    <t>Intermediate</t>
    <phoneticPr fontId="18"/>
  </si>
  <si>
    <t>Bad</t>
    <phoneticPr fontId="18"/>
  </si>
  <si>
    <t>*Height of Forest Canopy: top part of forest (see NOTES for detail)</t>
    <phoneticPr fontId="18"/>
  </si>
  <si>
    <t>Height of Forest Canopy is</t>
    <phoneticPr fontId="18"/>
  </si>
  <si>
    <t>Select from the drop-down menu</t>
    <phoneticPr fontId="18"/>
  </si>
  <si>
    <t>Hokkaido</t>
    <phoneticPr fontId="18"/>
  </si>
  <si>
    <t>Aomori</t>
    <phoneticPr fontId="18"/>
  </si>
  <si>
    <t>Iwate</t>
    <phoneticPr fontId="18"/>
  </si>
  <si>
    <t>Miyagi</t>
    <phoneticPr fontId="18"/>
  </si>
  <si>
    <t>Akita</t>
    <phoneticPr fontId="18"/>
  </si>
  <si>
    <t>Yamagata</t>
    <phoneticPr fontId="18"/>
  </si>
  <si>
    <t>Fukushima</t>
    <phoneticPr fontId="18"/>
  </si>
  <si>
    <t>Ibaraki</t>
    <phoneticPr fontId="18"/>
  </si>
  <si>
    <t>Tochigi</t>
    <phoneticPr fontId="18"/>
  </si>
  <si>
    <t>Gunma</t>
    <phoneticPr fontId="18"/>
  </si>
  <si>
    <t>Saitama</t>
    <phoneticPr fontId="18"/>
  </si>
  <si>
    <t>Chiba</t>
    <phoneticPr fontId="18"/>
  </si>
  <si>
    <t>Tokyo</t>
    <phoneticPr fontId="18"/>
  </si>
  <si>
    <t>Kanagawa</t>
    <phoneticPr fontId="18"/>
  </si>
  <si>
    <t>Niigata</t>
    <phoneticPr fontId="18"/>
  </si>
  <si>
    <t>Toyama</t>
    <phoneticPr fontId="18"/>
  </si>
  <si>
    <t>Ishikawa</t>
    <phoneticPr fontId="18"/>
  </si>
  <si>
    <t>Fukui</t>
    <phoneticPr fontId="18"/>
  </si>
  <si>
    <t>Yamanashi</t>
    <phoneticPr fontId="18"/>
  </si>
  <si>
    <t>Nagano</t>
    <phoneticPr fontId="18"/>
  </si>
  <si>
    <t>Gifu</t>
    <phoneticPr fontId="18"/>
  </si>
  <si>
    <t>Shizuoka</t>
    <phoneticPr fontId="18"/>
  </si>
  <si>
    <t>Aichi</t>
  </si>
  <si>
    <t>Aichi</t>
    <phoneticPr fontId="18"/>
  </si>
  <si>
    <t>Mie</t>
    <phoneticPr fontId="18"/>
  </si>
  <si>
    <t>Shiga</t>
    <phoneticPr fontId="18"/>
  </si>
  <si>
    <t>Kyoto</t>
    <phoneticPr fontId="18"/>
  </si>
  <si>
    <t>Osaka</t>
    <phoneticPr fontId="18"/>
  </si>
  <si>
    <t>Hyogo</t>
    <phoneticPr fontId="18"/>
  </si>
  <si>
    <t>Nara</t>
    <phoneticPr fontId="18"/>
  </si>
  <si>
    <t>Wakayama</t>
    <phoneticPr fontId="18"/>
  </si>
  <si>
    <t>Tottori</t>
    <phoneticPr fontId="18"/>
  </si>
  <si>
    <t>Shimane</t>
    <phoneticPr fontId="18"/>
  </si>
  <si>
    <t>Okayama</t>
    <phoneticPr fontId="18"/>
  </si>
  <si>
    <t>Hiroshima</t>
    <phoneticPr fontId="18"/>
  </si>
  <si>
    <t>Yamaguchi</t>
    <phoneticPr fontId="18"/>
  </si>
  <si>
    <t>Tokushima</t>
    <phoneticPr fontId="18"/>
  </si>
  <si>
    <t>Kagawa</t>
    <phoneticPr fontId="18"/>
  </si>
  <si>
    <t>Ehime</t>
    <phoneticPr fontId="18"/>
  </si>
  <si>
    <t>Kochi</t>
    <phoneticPr fontId="18"/>
  </si>
  <si>
    <t>Fukuoka</t>
    <phoneticPr fontId="18"/>
  </si>
  <si>
    <t>Saga</t>
    <phoneticPr fontId="18"/>
  </si>
  <si>
    <t>Nagasaki</t>
    <phoneticPr fontId="18"/>
  </si>
  <si>
    <t>Kumamoto</t>
    <phoneticPr fontId="18"/>
  </si>
  <si>
    <t>Oita</t>
    <phoneticPr fontId="18"/>
  </si>
  <si>
    <t>Miyazaki</t>
    <phoneticPr fontId="18"/>
  </si>
  <si>
    <t>Kagoshima</t>
    <phoneticPr fontId="18"/>
  </si>
  <si>
    <t>Okinawa</t>
    <phoneticPr fontId="18"/>
  </si>
  <si>
    <t>Good</t>
    <phoneticPr fontId="18"/>
  </si>
  <si>
    <t>Intermediate</t>
    <phoneticPr fontId="18"/>
  </si>
  <si>
    <t>Bad</t>
    <phoneticPr fontId="18"/>
  </si>
  <si>
    <t>Rice Paddy</t>
    <phoneticPr fontId="18"/>
  </si>
  <si>
    <t>Deciduous Broadleaf</t>
    <phoneticPr fontId="18"/>
  </si>
  <si>
    <t>Evergreen Broadleaf</t>
  </si>
  <si>
    <t>Evergreen Broadleaf</t>
    <phoneticPr fontId="18"/>
  </si>
  <si>
    <t>Needle Leaf</t>
    <phoneticPr fontId="18"/>
  </si>
  <si>
    <t>Other Farmland</t>
    <phoneticPr fontId="18"/>
  </si>
  <si>
    <t>Forest</t>
    <phoneticPr fontId="18"/>
  </si>
  <si>
    <t>Barren</t>
    <phoneticPr fontId="18"/>
  </si>
  <si>
    <t>Transportation</t>
    <phoneticPr fontId="18"/>
  </si>
  <si>
    <t>Building</t>
  </si>
  <si>
    <t>Building</t>
    <phoneticPr fontId="18"/>
  </si>
  <si>
    <t>Others</t>
    <phoneticPr fontId="18"/>
  </si>
  <si>
    <t>Rivers and Lakes</t>
    <phoneticPr fontId="18"/>
  </si>
  <si>
    <t>Beach</t>
    <phoneticPr fontId="18"/>
  </si>
  <si>
    <t>Golf Field</t>
    <phoneticPr fontId="18"/>
  </si>
  <si>
    <t>那覇</t>
    <rPh sb="0" eb="2">
      <t>ナハ</t>
    </rPh>
    <phoneticPr fontId="18"/>
  </si>
  <si>
    <t>II. Results</t>
    <phoneticPr fontId="18"/>
  </si>
  <si>
    <t>Results of evaluation will be automatically calculated based on the input information and shown below.</t>
    <phoneticPr fontId="18"/>
  </si>
  <si>
    <t>Ecosystem Services</t>
    <phoneticPr fontId="18"/>
  </si>
  <si>
    <t>Evaluated Function</t>
    <phoneticPr fontId="18"/>
  </si>
  <si>
    <t>Economic Value</t>
    <phoneticPr fontId="18"/>
  </si>
  <si>
    <t>Mitigation of Global Warming</t>
    <phoneticPr fontId="18"/>
  </si>
  <si>
    <t>Removal of Air Pollutants</t>
    <phoneticPr fontId="18"/>
  </si>
  <si>
    <t>Air Improvement</t>
    <phoneticPr fontId="18"/>
  </si>
  <si>
    <t>Climate Mitigation</t>
    <phoneticPr fontId="18"/>
  </si>
  <si>
    <t>Water Storage
(within tree body)</t>
    <phoneticPr fontId="18"/>
  </si>
  <si>
    <t>Amount of fixed CO2</t>
    <phoneticPr fontId="18"/>
  </si>
  <si>
    <t>Amount of removed NO2</t>
    <phoneticPr fontId="18"/>
  </si>
  <si>
    <t>Amount of removed SO2</t>
    <phoneticPr fontId="18"/>
  </si>
  <si>
    <t>Amount of removed O3</t>
    <phoneticPr fontId="18"/>
  </si>
  <si>
    <t>Amount of released O2</t>
    <phoneticPr fontId="18"/>
  </si>
  <si>
    <t>Amount of stored water</t>
    <phoneticPr fontId="18"/>
  </si>
  <si>
    <t>Amount of Evapotranspiration</t>
    <phoneticPr fontId="18"/>
  </si>
  <si>
    <r>
      <t>kg CO</t>
    </r>
    <r>
      <rPr>
        <vertAlign val="subscript"/>
        <sz val="12"/>
        <color theme="1"/>
        <rFont val="ＭＳ Ｐゴシック"/>
        <family val="3"/>
        <charset val="128"/>
        <scheme val="minor"/>
      </rPr>
      <t>2</t>
    </r>
    <r>
      <rPr>
        <sz val="12"/>
        <color theme="1"/>
        <rFont val="ＭＳ Ｐゴシック"/>
        <family val="2"/>
        <charset val="128"/>
        <scheme val="minor"/>
      </rPr>
      <t>/yr</t>
    </r>
    <phoneticPr fontId="18"/>
  </si>
  <si>
    <r>
      <t>kg-NO</t>
    </r>
    <r>
      <rPr>
        <vertAlign val="subscript"/>
        <sz val="12"/>
        <color theme="1"/>
        <rFont val="ＭＳ Ｐゴシック"/>
        <family val="3"/>
        <charset val="128"/>
        <scheme val="minor"/>
      </rPr>
      <t>2</t>
    </r>
    <r>
      <rPr>
        <sz val="12"/>
        <color theme="1"/>
        <rFont val="ＭＳ Ｐゴシック"/>
        <family val="2"/>
        <charset val="128"/>
        <scheme val="minor"/>
      </rPr>
      <t>/yr</t>
    </r>
    <phoneticPr fontId="18"/>
  </si>
  <si>
    <t>kg-SO2/yr</t>
    <phoneticPr fontId="18"/>
  </si>
  <si>
    <t>kg-O3/yr</t>
    <phoneticPr fontId="18"/>
  </si>
  <si>
    <t>kg-O2/yr</t>
    <phoneticPr fontId="18"/>
  </si>
  <si>
    <t>kg-H2O/yr</t>
    <phoneticPr fontId="18"/>
  </si>
  <si>
    <t>m3/yr</t>
    <phoneticPr fontId="18"/>
  </si>
  <si>
    <t>JPY/yr</t>
    <phoneticPr fontId="18"/>
  </si>
  <si>
    <t>JPY/yr</t>
    <phoneticPr fontId="18"/>
  </si>
  <si>
    <r>
      <t>JPY/yr/m</t>
    </r>
    <r>
      <rPr>
        <vertAlign val="superscript"/>
        <sz val="16"/>
        <color theme="1"/>
        <rFont val="ＭＳ Ｐゴシック"/>
        <family val="3"/>
        <charset val="128"/>
        <scheme val="minor"/>
      </rPr>
      <t>2</t>
    </r>
    <phoneticPr fontId="18"/>
  </si>
  <si>
    <t>Total</t>
    <phoneticPr fontId="18"/>
  </si>
  <si>
    <t>Per Unit Area</t>
    <phoneticPr fontId="18"/>
  </si>
  <si>
    <t>Toyota - Tsutsumi Plant</t>
    <phoneticPr fontId="18"/>
  </si>
  <si>
    <t>Nagoya</t>
  </si>
  <si>
    <t>Nagoya</t>
    <phoneticPr fontId="18"/>
  </si>
  <si>
    <t>(Select "Intermediate" if only 1 or 2 years have passed)</t>
    <phoneticPr fontId="18"/>
  </si>
  <si>
    <t>広葉樹</t>
    <rPh sb="0" eb="3">
      <t>コウヨウジュ</t>
    </rPh>
    <phoneticPr fontId="18"/>
  </si>
  <si>
    <t>都道府県</t>
    <rPh sb="0" eb="4">
      <t>トドウフケン</t>
    </rPh>
    <phoneticPr fontId="18"/>
  </si>
  <si>
    <t>それ以外</t>
    <rPh sb="2" eb="4">
      <t>イガイ</t>
    </rPh>
    <phoneticPr fontId="18"/>
  </si>
  <si>
    <t>針葉樹</t>
    <rPh sb="0" eb="3">
      <t>シンヨウジュ</t>
    </rPh>
    <phoneticPr fontId="18"/>
  </si>
  <si>
    <t>沖縄県</t>
    <rPh sb="0" eb="3">
      <t>オキナワケン</t>
    </rPh>
    <phoneticPr fontId="18"/>
  </si>
  <si>
    <t>東京都</t>
    <rPh sb="2" eb="3">
      <t>ト</t>
    </rPh>
    <phoneticPr fontId="18"/>
  </si>
  <si>
    <t>千葉県</t>
    <rPh sb="2" eb="3">
      <t>ケン</t>
    </rPh>
    <phoneticPr fontId="18"/>
  </si>
  <si>
    <t>BEF</t>
    <phoneticPr fontId="18"/>
  </si>
  <si>
    <t>R</t>
    <phoneticPr fontId="18"/>
  </si>
  <si>
    <t>D</t>
    <phoneticPr fontId="18"/>
  </si>
  <si>
    <r>
      <t>m</t>
    </r>
    <r>
      <rPr>
        <vertAlign val="superscript"/>
        <sz val="12"/>
        <color theme="1"/>
        <rFont val="ＭＳ Ｐゴシック"/>
        <family val="3"/>
        <charset val="128"/>
        <scheme val="minor"/>
      </rPr>
      <t>3</t>
    </r>
    <r>
      <rPr>
        <sz val="12"/>
        <color theme="1"/>
        <rFont val="ＭＳ Ｐゴシック"/>
        <family val="2"/>
        <charset val="128"/>
        <scheme val="minor"/>
      </rPr>
      <t>/年</t>
    </r>
    <rPh sb="3" eb="4">
      <t>ネン</t>
    </rPh>
    <phoneticPr fontId="18"/>
  </si>
  <si>
    <t>炭素
含有率</t>
    <rPh sb="0" eb="2">
      <t>タンソ</t>
    </rPh>
    <rPh sb="3" eb="6">
      <t>ガンユウリツ</t>
    </rPh>
    <phoneticPr fontId="18"/>
  </si>
  <si>
    <t>ここから下は文献に無いので、ここより上の平均値を使用</t>
    <rPh sb="4" eb="5">
      <t>シタ</t>
    </rPh>
    <rPh sb="6" eb="8">
      <t>ブンケン</t>
    </rPh>
    <rPh sb="9" eb="10">
      <t>ナ</t>
    </rPh>
    <rPh sb="18" eb="19">
      <t>ウエ</t>
    </rPh>
    <rPh sb="20" eb="23">
      <t>ヘイキンチ</t>
    </rPh>
    <rPh sb="24" eb="26">
      <t>シヨウ</t>
    </rPh>
    <phoneticPr fontId="18"/>
  </si>
  <si>
    <t>熊本県</t>
    <rPh sb="0" eb="3">
      <t>クマモトケン</t>
    </rPh>
    <phoneticPr fontId="18"/>
  </si>
  <si>
    <t>高知県</t>
    <rPh sb="0" eb="3">
      <t>コウチケン</t>
    </rPh>
    <phoneticPr fontId="18"/>
  </si>
  <si>
    <t>大阪府</t>
    <rPh sb="2" eb="3">
      <t>フ</t>
    </rPh>
    <phoneticPr fontId="18"/>
  </si>
  <si>
    <t>京都府</t>
    <rPh sb="2" eb="3">
      <t>フ</t>
    </rPh>
    <phoneticPr fontId="18"/>
  </si>
  <si>
    <t>愛知県</t>
    <rPh sb="0" eb="1">
      <t>アイ</t>
    </rPh>
    <rPh sb="2" eb="3">
      <t>ケン</t>
    </rPh>
    <phoneticPr fontId="18"/>
  </si>
  <si>
    <r>
      <t>収穫表用パラメータ３</t>
    </r>
    <r>
      <rPr>
        <sz val="12"/>
        <color theme="1"/>
        <rFont val="ＭＳ Ｐゴシック"/>
        <family val="3"/>
        <charset val="128"/>
        <scheme val="minor"/>
      </rPr>
      <t>(京都議定書3条3及び4の下でのLULUCF活動の補足情報に関する報告書 2009）</t>
    </r>
    <rPh sb="0" eb="3">
      <t>シュウ</t>
    </rPh>
    <rPh sb="3" eb="4">
      <t>ヨウ</t>
    </rPh>
    <rPh sb="11" eb="13">
      <t>キョウト</t>
    </rPh>
    <rPh sb="13" eb="16">
      <t>ギテイショ</t>
    </rPh>
    <rPh sb="17" eb="18">
      <t>ジョウ</t>
    </rPh>
    <rPh sb="19" eb="20">
      <t>オヨ</t>
    </rPh>
    <rPh sb="23" eb="24">
      <t>モト</t>
    </rPh>
    <rPh sb="32" eb="34">
      <t>カツドウ</t>
    </rPh>
    <rPh sb="35" eb="37">
      <t>ホソク</t>
    </rPh>
    <rPh sb="37" eb="39">
      <t>ジョウホウ</t>
    </rPh>
    <rPh sb="40" eb="41">
      <t>カン</t>
    </rPh>
    <rPh sb="43" eb="46">
      <t>ホウコクショ</t>
    </rPh>
    <phoneticPr fontId="18"/>
  </si>
  <si>
    <t>収穫表用パラメータ４・CO2吸収量地方較差補正係数（小川ら 2000)</t>
    <rPh sb="0" eb="4">
      <t>シュウカクヒョウヨウ</t>
    </rPh>
    <rPh sb="14" eb="17">
      <t>キュウシュウリョウ</t>
    </rPh>
    <rPh sb="17" eb="19">
      <t>チホウカクサ</t>
    </rPh>
    <rPh sb="19" eb="21">
      <t>カクサ</t>
    </rPh>
    <rPh sb="21" eb="25">
      <t>ホセイケイスウ</t>
    </rPh>
    <rPh sb="26" eb="28">
      <t>オガワ</t>
    </rPh>
    <phoneticPr fontId="18"/>
  </si>
  <si>
    <t>経済換算パラメータ</t>
    <rPh sb="0" eb="2">
      <t>ケイザイカン</t>
    </rPh>
    <rPh sb="2" eb="4">
      <t>カンサン</t>
    </rPh>
    <phoneticPr fontId="18"/>
  </si>
  <si>
    <r>
      <t xml:space="preserve">収穫表用パラメータ２
(吉田・松下 1999 森林計画誌.pdfのスギ) 
</t>
    </r>
    <r>
      <rPr>
        <sz val="12"/>
        <color theme="0" tint="-0.499984740745262"/>
        <rFont val="ＭＳ Ｐゴシック"/>
        <family val="3"/>
        <charset val="128"/>
        <scheme val="minor"/>
      </rPr>
      <t>※bは2016年6月の現地調査に基づき調整
※吉田・松下に非掲載の都道府県は掲載都道府県の平均値を使用(</t>
    </r>
    <r>
      <rPr>
        <sz val="12"/>
        <color rgb="FFFF0000"/>
        <rFont val="ＭＳ Ｐゴシック"/>
        <family val="3"/>
        <charset val="128"/>
        <scheme val="minor"/>
      </rPr>
      <t>赤字</t>
    </r>
    <r>
      <rPr>
        <sz val="12"/>
        <color theme="0" tint="-0.499984740745262"/>
        <rFont val="ＭＳ Ｐゴシック"/>
        <family val="3"/>
        <charset val="128"/>
        <scheme val="minor"/>
      </rPr>
      <t>)</t>
    </r>
    <rPh sb="0" eb="3">
      <t>シュウカクヒョウ</t>
    </rPh>
    <rPh sb="3" eb="4">
      <t>ヨウ</t>
    </rPh>
    <rPh sb="45" eb="46">
      <t>ネン</t>
    </rPh>
    <rPh sb="47" eb="48">
      <t>ガツ</t>
    </rPh>
    <rPh sb="49" eb="53">
      <t>ゲンチチョウサ</t>
    </rPh>
    <rPh sb="54" eb="59">
      <t>モトヅk</t>
    </rPh>
    <rPh sb="61" eb="63">
      <t>ヨシダ</t>
    </rPh>
    <rPh sb="64" eb="66">
      <t>マツシタ</t>
    </rPh>
    <rPh sb="67" eb="68">
      <t>ヒ</t>
    </rPh>
    <rPh sb="68" eb="70">
      <t>ケイサイ</t>
    </rPh>
    <rPh sb="71" eb="75">
      <t>トドウフ</t>
    </rPh>
    <rPh sb="76" eb="78">
      <t>ケイサイ</t>
    </rPh>
    <rPh sb="78" eb="82">
      <t>トドウフケン</t>
    </rPh>
    <rPh sb="83" eb="86">
      <t>ヘイキンチ</t>
    </rPh>
    <rPh sb="87" eb="89">
      <t>シヨウ</t>
    </rPh>
    <rPh sb="90" eb="92">
      <t>アカジ</t>
    </rPh>
    <phoneticPr fontId="18"/>
  </si>
  <si>
    <r>
      <t xml:space="preserve">収穫表用パラメータ１
(吉田・松下 1999 森林計画誌.pdfの広葉樹) 
</t>
    </r>
    <r>
      <rPr>
        <sz val="12"/>
        <color theme="0" tint="-0.499984740745262"/>
        <rFont val="ＭＳ Ｐゴシック"/>
        <family val="3"/>
        <charset val="128"/>
        <scheme val="minor"/>
      </rPr>
      <t>※bは2016年6月の現地調査に基づき調整
※吉田・松下に非掲載の都道府県は掲載都道府県の平均値を使用(</t>
    </r>
    <r>
      <rPr>
        <sz val="12"/>
        <color rgb="FFFF0000"/>
        <rFont val="ＭＳ Ｐゴシック"/>
        <family val="3"/>
        <charset val="128"/>
        <scheme val="minor"/>
      </rPr>
      <t>赤字</t>
    </r>
    <r>
      <rPr>
        <sz val="12"/>
        <color theme="0" tint="-0.499984740745262"/>
        <rFont val="ＭＳ Ｐゴシック"/>
        <family val="3"/>
        <charset val="128"/>
        <scheme val="minor"/>
      </rPr>
      <t>)</t>
    </r>
    <rPh sb="0" eb="3">
      <t>シュウカクヒョウ</t>
    </rPh>
    <rPh sb="3" eb="4">
      <t>ヨウ</t>
    </rPh>
    <rPh sb="46" eb="47">
      <t>ネン</t>
    </rPh>
    <rPh sb="48" eb="49">
      <t>ガツ</t>
    </rPh>
    <rPh sb="50" eb="54">
      <t>ゲンチチョウサ</t>
    </rPh>
    <rPh sb="55" eb="60">
      <t>モトヅk</t>
    </rPh>
    <rPh sb="62" eb="64">
      <t>ヨシダ</t>
    </rPh>
    <rPh sb="65" eb="67">
      <t>マツシタ</t>
    </rPh>
    <rPh sb="68" eb="69">
      <t>ヒ</t>
    </rPh>
    <rPh sb="69" eb="71">
      <t>ケイサイ</t>
    </rPh>
    <rPh sb="72" eb="76">
      <t>トドウフ</t>
    </rPh>
    <rPh sb="77" eb="79">
      <t>ケイサイ</t>
    </rPh>
    <rPh sb="79" eb="83">
      <t>トドウフケン</t>
    </rPh>
    <rPh sb="84" eb="87">
      <t>ヘイキンチ</t>
    </rPh>
    <rPh sb="88" eb="90">
      <t>シヨウ</t>
    </rPh>
    <phoneticPr fontId="18"/>
  </si>
  <si>
    <t>(1) 広葉樹の生息指数を算出するため、寺師(1991)のコジイのデータを使う</t>
    <rPh sb="4" eb="7">
      <t>コウヨウジュ</t>
    </rPh>
    <rPh sb="8" eb="10">
      <t>セイソク</t>
    </rPh>
    <rPh sb="10" eb="12">
      <t>シスウ</t>
    </rPh>
    <rPh sb="13" eb="15">
      <t>サンシュツ</t>
    </rPh>
    <rPh sb="20" eb="22">
      <t>テラシ</t>
    </rPh>
    <rPh sb="37" eb="38">
      <t>ツカ</t>
    </rPh>
    <phoneticPr fontId="18"/>
  </si>
  <si>
    <t>(2) 表1の齢階とHt、齢階とσtから、Rのnls関数によりフィッティングし、式①のパラメータa, b, cを求める</t>
    <rPh sb="4" eb="5">
      <t>ヒョウ</t>
    </rPh>
    <rPh sb="7" eb="8">
      <t>レイ</t>
    </rPh>
    <rPh sb="8" eb="9">
      <t>カイ</t>
    </rPh>
    <rPh sb="13" eb="14">
      <t>レイ</t>
    </rPh>
    <rPh sb="14" eb="15">
      <t>カイ</t>
    </rPh>
    <rPh sb="26" eb="28">
      <t>カンスウ</t>
    </rPh>
    <rPh sb="40" eb="41">
      <t>シキ</t>
    </rPh>
    <rPh sb="56" eb="57">
      <t>モト</t>
    </rPh>
    <phoneticPr fontId="18"/>
  </si>
  <si>
    <t>(3) 式①から林齢ごとのHtとσtを求める</t>
    <rPh sb="4" eb="5">
      <t>シキ</t>
    </rPh>
    <rPh sb="19" eb="20">
      <t>モト</t>
    </rPh>
    <phoneticPr fontId="18"/>
  </si>
  <si>
    <t>(4) Ht±2σの上下1/3の値を求め、生育普通の上限・下限を求める（列OおよびP）</t>
    <rPh sb="10" eb="12">
      <t>ジョウゲ</t>
    </rPh>
    <rPh sb="16" eb="17">
      <t>アタイ</t>
    </rPh>
    <rPh sb="18" eb="19">
      <t>モト</t>
    </rPh>
    <rPh sb="21" eb="23">
      <t>セイイク</t>
    </rPh>
    <rPh sb="23" eb="25">
      <t>フツウ</t>
    </rPh>
    <rPh sb="26" eb="28">
      <t>ジョウゲン</t>
    </rPh>
    <rPh sb="29" eb="31">
      <t>カゲン</t>
    </rPh>
    <rPh sb="32" eb="33">
      <t>モト</t>
    </rPh>
    <rPh sb="36" eb="37">
      <t>レツ</t>
    </rPh>
    <phoneticPr fontId="18"/>
  </si>
  <si>
    <t>(6) (3)の値のHtに対する比率を求める　(Ht ± (4/3)σt) / Ht</t>
    <rPh sb="8" eb="9">
      <t>アタイ</t>
    </rPh>
    <rPh sb="13" eb="14">
      <t>タイ</t>
    </rPh>
    <rPh sb="16" eb="18">
      <t>ヒリツ</t>
    </rPh>
    <rPh sb="19" eb="20">
      <t>モト</t>
    </rPh>
    <phoneticPr fontId="18"/>
  </si>
  <si>
    <t>A</t>
    <phoneticPr fontId="18"/>
  </si>
  <si>
    <r>
      <t>H</t>
    </r>
    <r>
      <rPr>
        <vertAlign val="subscript"/>
        <sz val="12"/>
        <color theme="1"/>
        <rFont val="ＭＳ Ｐゴシック"/>
        <family val="3"/>
        <charset val="128"/>
        <scheme val="minor"/>
      </rPr>
      <t>1</t>
    </r>
    <phoneticPr fontId="18"/>
  </si>
  <si>
    <t>樹高(m)</t>
    <rPh sb="0" eb="2">
      <t>ジュコウ</t>
    </rPh>
    <phoneticPr fontId="18"/>
  </si>
  <si>
    <r>
      <t xml:space="preserve">パラメータ </t>
    </r>
    <r>
      <rPr>
        <sz val="11"/>
        <color theme="1"/>
        <rFont val="ＭＳ Ｐゴシック"/>
        <family val="3"/>
        <charset val="128"/>
        <scheme val="minor"/>
      </rPr>
      <t>(和口ら 2013 奈良県森技セ研報)</t>
    </r>
    <phoneticPr fontId="18"/>
  </si>
  <si>
    <t>上位1/3下限</t>
    <rPh sb="0" eb="2">
      <t>ジョウイ</t>
    </rPh>
    <rPh sb="5" eb="7">
      <t>カゲン</t>
    </rPh>
    <phoneticPr fontId="18"/>
  </si>
  <si>
    <t>下位1/3上限</t>
    <rPh sb="0" eb="2">
      <t>カイ</t>
    </rPh>
    <rPh sb="5" eb="7">
      <t>ジョウゲン</t>
    </rPh>
    <phoneticPr fontId="18"/>
  </si>
  <si>
    <t>上位1/3(生育良好)中央値</t>
    <rPh sb="0" eb="2">
      <t>ジョウイ</t>
    </rPh>
    <rPh sb="6" eb="8">
      <t>セイイク</t>
    </rPh>
    <rPh sb="8" eb="10">
      <t>リョウコウ</t>
    </rPh>
    <rPh sb="11" eb="14">
      <t>チュウオウチ</t>
    </rPh>
    <phoneticPr fontId="18"/>
  </si>
  <si>
    <t>中(生育普通)中央値</t>
    <rPh sb="2" eb="4">
      <t>セイイク</t>
    </rPh>
    <rPh sb="4" eb="6">
      <t>フツウ</t>
    </rPh>
    <rPh sb="7" eb="10">
      <t>チュウオウチ</t>
    </rPh>
    <phoneticPr fontId="18"/>
  </si>
  <si>
    <t>下位1/3(生育不良)中央値</t>
    <rPh sb="0" eb="2">
      <t>カイ</t>
    </rPh>
    <rPh sb="6" eb="8">
      <t>セイイク</t>
    </rPh>
    <rPh sb="8" eb="10">
      <t>フリョウ</t>
    </rPh>
    <rPh sb="11" eb="14">
      <t>チュウオウチ</t>
    </rPh>
    <phoneticPr fontId="18"/>
  </si>
  <si>
    <t>生育指数</t>
    <rPh sb="0" eb="2">
      <t>セイイク</t>
    </rPh>
    <rPh sb="2" eb="4">
      <t>シスウ</t>
    </rPh>
    <phoneticPr fontId="18"/>
  </si>
  <si>
    <t>生育普通</t>
    <rPh sb="0" eb="4">
      <t>セイイク</t>
    </rPh>
    <phoneticPr fontId="18"/>
  </si>
  <si>
    <t>2σt</t>
    <phoneticPr fontId="18"/>
  </si>
  <si>
    <t>Ht</t>
    <phoneticPr fontId="18"/>
  </si>
  <si>
    <t>齢階</t>
    <phoneticPr fontId="18"/>
  </si>
  <si>
    <t>Ht</t>
    <phoneticPr fontId="18"/>
  </si>
  <si>
    <t>σt</t>
    <phoneticPr fontId="18"/>
  </si>
  <si>
    <t>σt</t>
    <phoneticPr fontId="18"/>
  </si>
  <si>
    <t>b</t>
    <phoneticPr fontId="18"/>
  </si>
  <si>
    <t>c</t>
    <phoneticPr fontId="18"/>
  </si>
  <si>
    <t>a</t>
    <phoneticPr fontId="18"/>
  </si>
  <si>
    <t>生育普通に対するバイオマス比</t>
    <rPh sb="0" eb="2">
      <t>セイイク</t>
    </rPh>
    <rPh sb="2" eb="4">
      <t>フツウ</t>
    </rPh>
    <rPh sb="5" eb="6">
      <t>タイ</t>
    </rPh>
    <rPh sb="13" eb="14">
      <t>ヒ</t>
    </rPh>
    <phoneticPr fontId="18"/>
  </si>
  <si>
    <r>
      <t>{</t>
    </r>
    <r>
      <rPr>
        <sz val="12"/>
        <color theme="1"/>
        <rFont val="ＭＳ Ｐゴシック"/>
        <family val="2"/>
        <charset val="128"/>
        <scheme val="minor"/>
      </rPr>
      <t>Ht/(Ht+(4/3)σt)}</t>
    </r>
    <r>
      <rPr>
        <vertAlign val="superscript"/>
        <sz val="12"/>
        <color theme="1"/>
        <rFont val="ＭＳ Ｐゴシック"/>
        <family val="3"/>
        <charset val="128"/>
        <scheme val="minor"/>
      </rPr>
      <t>3</t>
    </r>
    <phoneticPr fontId="18"/>
  </si>
  <si>
    <r>
      <t>{</t>
    </r>
    <r>
      <rPr>
        <sz val="12"/>
        <color theme="1"/>
        <rFont val="ＭＳ Ｐゴシック"/>
        <family val="2"/>
        <charset val="128"/>
        <scheme val="minor"/>
      </rPr>
      <t>Ht/(Ht-(4/3)σt)}</t>
    </r>
    <r>
      <rPr>
        <vertAlign val="superscript"/>
        <sz val="12"/>
        <color theme="1"/>
        <rFont val="ＭＳ Ｐゴシック"/>
        <family val="3"/>
        <charset val="128"/>
        <scheme val="minor"/>
      </rPr>
      <t>3</t>
    </r>
    <phoneticPr fontId="18"/>
  </si>
  <si>
    <t>主な樹種</t>
    <rPh sb="0" eb="1">
      <t>オモ</t>
    </rPh>
    <rPh sb="2" eb="4">
      <t>ジュシュ</t>
    </rPh>
    <phoneticPr fontId="18"/>
  </si>
  <si>
    <t>生育指数</t>
    <rPh sb="0" eb="4">
      <t>セイ</t>
    </rPh>
    <phoneticPr fontId="18"/>
  </si>
  <si>
    <t>生育状況</t>
    <rPh sb="0" eb="2">
      <t>セイイク</t>
    </rPh>
    <rPh sb="2" eb="4">
      <t>ジョウキョウ</t>
    </rPh>
    <phoneticPr fontId="18"/>
  </si>
  <si>
    <t>沖縄</t>
    <rPh sb="0" eb="2">
      <t>オキナワ</t>
    </rPh>
    <phoneticPr fontId="18"/>
  </si>
  <si>
    <t>那覇</t>
    <rPh sb="0" eb="2">
      <t>ナハ</t>
    </rPh>
    <phoneticPr fontId="18"/>
  </si>
  <si>
    <t>bは現地調査結果に基づき調整</t>
    <rPh sb="2" eb="8">
      <t>ゲンチチョウサケッカ</t>
    </rPh>
    <rPh sb="9" eb="10">
      <t>モト</t>
    </rPh>
    <rPh sb="12" eb="14">
      <t>チョウセイ</t>
    </rPh>
    <phoneticPr fontId="18"/>
  </si>
  <si>
    <t>純生産量 = CO2固定量 ／ 1.63</t>
  </si>
  <si>
    <t>※ 6CO2 / C6H12O6 = 1.63</t>
  </si>
  <si>
    <r>
      <t>mm</t>
    </r>
    <r>
      <rPr>
        <vertAlign val="superscript"/>
        <sz val="11"/>
        <color theme="1"/>
        <rFont val="ＭＳ Ｐゴシック"/>
        <family val="3"/>
        <charset val="128"/>
        <scheme val="minor"/>
      </rPr>
      <t>3</t>
    </r>
    <r>
      <rPr>
        <sz val="11"/>
        <color theme="1"/>
        <rFont val="ＭＳ Ｐゴシック"/>
        <family val="2"/>
        <charset val="128"/>
        <scheme val="minor"/>
      </rPr>
      <t>/d</t>
    </r>
    <phoneticPr fontId="18"/>
  </si>
  <si>
    <t>平均気温(℃)</t>
  </si>
  <si>
    <t>Rs平均全天日射量(MJ/㎡)</t>
    <phoneticPr fontId="18"/>
  </si>
  <si>
    <t>日照時間(時間)</t>
  </si>
  <si>
    <t>a地域係数</t>
    <rPh sb="1" eb="3">
      <t>チイキ</t>
    </rPh>
    <rPh sb="3" eb="5">
      <t>ケイスウ</t>
    </rPh>
    <phoneticPr fontId="18"/>
  </si>
  <si>
    <t>b地域係数(mm/d)</t>
    <rPh sb="1" eb="3">
      <t>チイキ</t>
    </rPh>
    <rPh sb="3" eb="5">
      <t>ケイスウ</t>
    </rPh>
    <phoneticPr fontId="18"/>
  </si>
  <si>
    <t>L蒸発潜熱(MJ/kg)</t>
    <rPh sb="1" eb="3">
      <t>ジョウハツ</t>
    </rPh>
    <rPh sb="3" eb="4">
      <t>ヒソカ</t>
    </rPh>
    <rPh sb="4" eb="5">
      <t>ネツ</t>
    </rPh>
    <phoneticPr fontId="18"/>
  </si>
  <si>
    <t>⊿/⊿+γ</t>
    <phoneticPr fontId="18"/>
  </si>
  <si>
    <t>クーラー使用率</t>
    <rPh sb="4" eb="6">
      <t>シヨウ</t>
    </rPh>
    <rPh sb="6" eb="7">
      <t>リツ</t>
    </rPh>
    <phoneticPr fontId="18"/>
  </si>
  <si>
    <t>2015</t>
    <phoneticPr fontId="18"/>
  </si>
  <si>
    <t>※黒文字：全天日射量の実測地を使用</t>
    <rPh sb="1" eb="2">
      <t>クロ</t>
    </rPh>
    <rPh sb="2" eb="4">
      <t>モジ</t>
    </rPh>
    <phoneticPr fontId="18"/>
  </si>
  <si>
    <t>※赤文字：日照時間から算出した全天日射量を使用</t>
    <rPh sb="1" eb="2">
      <t>アカ</t>
    </rPh>
    <rPh sb="2" eb="4">
      <t>モジ</t>
    </rPh>
    <phoneticPr fontId="18"/>
  </si>
  <si>
    <t>蒸発散比=0.63</t>
    <rPh sb="0" eb="3">
      <t>ジョウハツサン</t>
    </rPh>
    <rPh sb="3" eb="4">
      <t>ヒ</t>
    </rPh>
    <phoneticPr fontId="18"/>
  </si>
  <si>
    <t>小澤ら.2010.2012</t>
    <rPh sb="0" eb="2">
      <t>オザワ</t>
    </rPh>
    <phoneticPr fontId="18"/>
  </si>
  <si>
    <t>2015</t>
    <phoneticPr fontId="18"/>
  </si>
  <si>
    <t>Rs平均全天日射量のモデル</t>
    <rPh sb="2" eb="4">
      <t>ヘイキン</t>
    </rPh>
    <rPh sb="4" eb="9">
      <t>ゼンテンニッシャリョウ</t>
    </rPh>
    <phoneticPr fontId="18"/>
  </si>
  <si>
    <t>e2&lt;-lmer(radiation~daylight+month+(1|area),data=d7,na.action=na.fail)</t>
  </si>
  <si>
    <t>推定されたパレメータ</t>
    <rPh sb="0" eb="2">
      <t>スイテイ</t>
    </rPh>
    <phoneticPr fontId="18"/>
  </si>
  <si>
    <t>Std. Error</t>
    <phoneticPr fontId="18"/>
  </si>
  <si>
    <t>t-value</t>
    <phoneticPr fontId="18"/>
  </si>
  <si>
    <t>切片</t>
    <rPh sb="0" eb="2">
      <t>セッペン</t>
    </rPh>
    <phoneticPr fontId="18"/>
  </si>
  <si>
    <t>日照時間(hr)</t>
    <rPh sb="0" eb="4">
      <t>ニッショウジカン</t>
    </rPh>
    <phoneticPr fontId="18"/>
  </si>
  <si>
    <t>2015</t>
    <phoneticPr fontId="18"/>
  </si>
  <si>
    <t>2015</t>
    <phoneticPr fontId="18"/>
  </si>
  <si>
    <t>2015</t>
    <phoneticPr fontId="18"/>
  </si>
  <si>
    <t>2015</t>
    <phoneticPr fontId="18"/>
  </si>
  <si>
    <t>2015</t>
    <phoneticPr fontId="18"/>
  </si>
  <si>
    <t>2015</t>
    <phoneticPr fontId="18"/>
  </si>
  <si>
    <t>2015</t>
    <phoneticPr fontId="18"/>
  </si>
  <si>
    <t>2015</t>
    <phoneticPr fontId="18"/>
  </si>
  <si>
    <t>2015</t>
    <phoneticPr fontId="18"/>
  </si>
  <si>
    <t>2015</t>
    <phoneticPr fontId="18"/>
  </si>
  <si>
    <t>岡山</t>
    <phoneticPr fontId="18"/>
  </si>
  <si>
    <t>2015</t>
    <phoneticPr fontId="18"/>
  </si>
  <si>
    <t>2015</t>
    <phoneticPr fontId="18"/>
  </si>
  <si>
    <t>2015</t>
    <phoneticPr fontId="18"/>
  </si>
  <si>
    <t>可能蒸発散量</t>
    <rPh sb="0" eb="2">
      <t>カノウ</t>
    </rPh>
    <rPh sb="2" eb="5">
      <t>ジョウハッサン</t>
    </rPh>
    <rPh sb="5" eb="6">
      <t>リョウ</t>
    </rPh>
    <phoneticPr fontId="18"/>
  </si>
  <si>
    <t>月別蒸発散量</t>
    <rPh sb="0" eb="2">
      <t>ツキベツ</t>
    </rPh>
    <rPh sb="2" eb="5">
      <t>ジョウハッサン</t>
    </rPh>
    <rPh sb="5" eb="6">
      <t>リョウ</t>
    </rPh>
    <phoneticPr fontId="18"/>
  </si>
  <si>
    <t>クーラー使用月の蒸発散量(mm/d)</t>
    <rPh sb="4" eb="6">
      <t>シヨウ</t>
    </rPh>
    <rPh sb="6" eb="7">
      <t>ヅキ</t>
    </rPh>
    <rPh sb="8" eb="11">
      <t>ジョウハッサン</t>
    </rPh>
    <rPh sb="11" eb="12">
      <t>リョウ</t>
    </rPh>
    <phoneticPr fontId="18"/>
  </si>
  <si>
    <t>マッキンク式による蒸発散量(mm/d)</t>
    <rPh sb="5" eb="6">
      <t>シキ</t>
    </rPh>
    <rPh sb="9" eb="12">
      <t>ジョウハッサン</t>
    </rPh>
    <rPh sb="12" eb="13">
      <t>リョウ</t>
    </rPh>
    <phoneticPr fontId="18"/>
  </si>
  <si>
    <r>
      <t>（家庭用・20m</t>
    </r>
    <r>
      <rPr>
        <vertAlign val="superscript"/>
        <sz val="11"/>
        <color theme="1"/>
        <rFont val="ＭＳ Ｐゴシック"/>
        <family val="3"/>
        <charset val="128"/>
        <scheme val="minor"/>
      </rPr>
      <t>3</t>
    </r>
    <r>
      <rPr>
        <sz val="11"/>
        <color theme="1"/>
        <rFont val="ＭＳ Ｐゴシック"/>
        <family val="2"/>
        <charset val="128"/>
        <scheme val="minor"/>
      </rPr>
      <t>使用の場合）</t>
    </r>
    <rPh sb="1" eb="3">
      <t>カテイ</t>
    </rPh>
    <rPh sb="3" eb="4">
      <t>ヨウ</t>
    </rPh>
    <rPh sb="9" eb="11">
      <t>シヨウ</t>
    </rPh>
    <rPh sb="12" eb="14">
      <t>バアイ</t>
    </rPh>
    <phoneticPr fontId="18"/>
  </si>
  <si>
    <t>水分増加量</t>
    <rPh sb="0" eb="1">
      <t>ミズ</t>
    </rPh>
    <rPh sb="2" eb="4">
      <t>ゾウカ</t>
    </rPh>
    <rPh sb="4" eb="5">
      <t>リョウ</t>
    </rPh>
    <phoneticPr fontId="18"/>
  </si>
  <si>
    <t>水の密度を1g/cm3と仮定</t>
    <rPh sb="0" eb="1">
      <t>ミズ</t>
    </rPh>
    <rPh sb="2" eb="4">
      <t>ミツド</t>
    </rPh>
    <rPh sb="12" eb="14">
      <t>カテイ</t>
    </rPh>
    <phoneticPr fontId="18"/>
  </si>
  <si>
    <t>乾燥重量</t>
    <rPh sb="0" eb="4">
      <t>カンソウジュウリョウ</t>
    </rPh>
    <phoneticPr fontId="18"/>
  </si>
  <si>
    <t>実際の森林の価値は、非経済的な価値を含め、本ツールによる評価結果よりも大きくなります。</t>
    <rPh sb="0" eb="2">
      <t>ジッサイ</t>
    </rPh>
    <rPh sb="3" eb="5">
      <t>シンリン</t>
    </rPh>
    <rPh sb="6" eb="8">
      <t>カチ</t>
    </rPh>
    <rPh sb="10" eb="14">
      <t>ヒケイザイテキ</t>
    </rPh>
    <rPh sb="15" eb="17">
      <t>カチ</t>
    </rPh>
    <rPh sb="18" eb="19">
      <t>フク</t>
    </rPh>
    <rPh sb="21" eb="22">
      <t>ホン</t>
    </rPh>
    <rPh sb="28" eb="32">
      <t>ヒョウカケッカ</t>
    </rPh>
    <rPh sb="35" eb="36">
      <t>オオ</t>
    </rPh>
    <phoneticPr fontId="18"/>
  </si>
  <si>
    <t>←植林地や事業所の名前（任意）</t>
    <rPh sb="1" eb="4">
      <t>ショクリンチ</t>
    </rPh>
    <rPh sb="5" eb="8">
      <t>ジギョウショ</t>
    </rPh>
    <rPh sb="9" eb="11">
      <t>ナマエ</t>
    </rPh>
    <rPh sb="12" eb="14">
      <t>ニンイ</t>
    </rPh>
    <phoneticPr fontId="18"/>
  </si>
  <si>
    <t>1)</t>
    <phoneticPr fontId="18"/>
  </si>
  <si>
    <t>「ツール」シートの左側にある「I. 情報入力」の青いセルに、それぞれ情報を入力していきます。</t>
    <rPh sb="9" eb="11">
      <t>ヒダリガワ</t>
    </rPh>
    <rPh sb="18" eb="20">
      <t>ジョウホウ</t>
    </rPh>
    <rPh sb="20" eb="22">
      <t>ニュウリョク</t>
    </rPh>
    <rPh sb="24" eb="25">
      <t>アオ</t>
    </rPh>
    <rPh sb="34" eb="36">
      <t>ジョウホウ</t>
    </rPh>
    <rPh sb="37" eb="39">
      <t>ニュウリョク</t>
    </rPh>
    <phoneticPr fontId="18"/>
  </si>
  <si>
    <t>2)</t>
  </si>
  <si>
    <t>「①サイト情報」の「サイト名」を入力します。任意入力です。空白でも構いません。</t>
    <rPh sb="5" eb="7">
      <t>ジョウホウ</t>
    </rPh>
    <rPh sb="13" eb="14">
      <t>メイ</t>
    </rPh>
    <rPh sb="16" eb="18">
      <t>ニュウリョク</t>
    </rPh>
    <rPh sb="22" eb="24">
      <t>ニンイ</t>
    </rPh>
    <rPh sb="24" eb="26">
      <t>ニュウリョク</t>
    </rPh>
    <rPh sb="29" eb="31">
      <t>クウハク</t>
    </rPh>
    <rPh sb="33" eb="34">
      <t>カマ</t>
    </rPh>
    <phoneticPr fontId="18"/>
  </si>
  <si>
    <t>3)</t>
  </si>
  <si>
    <t>4)</t>
  </si>
  <si>
    <t>5)</t>
  </si>
  <si>
    <t>6)</t>
  </si>
  <si>
    <t>7)</t>
    <phoneticPr fontId="18"/>
  </si>
  <si>
    <t>8)</t>
    <phoneticPr fontId="18"/>
  </si>
  <si>
    <t>9)</t>
    <phoneticPr fontId="18"/>
  </si>
  <si>
    <t>10)</t>
    <phoneticPr fontId="18"/>
  </si>
  <si>
    <t>注１</t>
    <rPh sb="0" eb="1">
      <t>チュウ</t>
    </rPh>
    <phoneticPr fontId="18"/>
  </si>
  <si>
    <t>水道料金</t>
    <rPh sb="0" eb="4">
      <t>スイドウリョウキン</t>
    </rPh>
    <phoneticPr fontId="18"/>
  </si>
  <si>
    <r>
      <t>円/</t>
    </r>
    <r>
      <rPr>
        <sz val="11"/>
        <color theme="1"/>
        <rFont val="ＭＳ Ｐゴシック"/>
        <family val="2"/>
        <charset val="128"/>
        <scheme val="minor"/>
      </rPr>
      <t>m3</t>
    </r>
    <rPh sb="0" eb="1">
      <t>エン</t>
    </rPh>
    <phoneticPr fontId="18"/>
  </si>
  <si>
    <t>全国平均 (International Statistics for Water Services 2014)</t>
    <rPh sb="0" eb="4">
      <t>ゼンコクヘイキン</t>
    </rPh>
    <phoneticPr fontId="18"/>
  </si>
  <si>
    <t>基本コンセプト</t>
    <rPh sb="0" eb="2">
      <t>キホン</t>
    </rPh>
    <phoneticPr fontId="18"/>
  </si>
  <si>
    <t>評価の範囲</t>
    <rPh sb="0" eb="2">
      <t>ヒョウカ</t>
    </rPh>
    <rPh sb="3" eb="5">
      <t>ハンイ</t>
    </rPh>
    <phoneticPr fontId="18"/>
  </si>
  <si>
    <t>大気汚染物質吸収・酸素生成の評価</t>
    <rPh sb="0" eb="6">
      <t>タイキオセンブッシツ</t>
    </rPh>
    <rPh sb="6" eb="8">
      <t>キュウシュウ</t>
    </rPh>
    <rPh sb="9" eb="11">
      <t>サンソ</t>
    </rPh>
    <rPh sb="11" eb="13">
      <t>セイセイ</t>
    </rPh>
    <rPh sb="14" eb="16">
      <t>ヒョウカ</t>
    </rPh>
    <phoneticPr fontId="18"/>
  </si>
  <si>
    <t>大気汚染物質吸収の経済価値</t>
    <rPh sb="9" eb="13">
      <t>ケイザイカチ</t>
    </rPh>
    <phoneticPr fontId="18"/>
  </si>
  <si>
    <t>酸素生成の経済価値</t>
    <rPh sb="0" eb="2">
      <t>サンソ</t>
    </rPh>
    <rPh sb="2" eb="4">
      <t>セイセイ</t>
    </rPh>
    <rPh sb="5" eb="9">
      <t>ケイザイカチ</t>
    </rPh>
    <phoneticPr fontId="18"/>
  </si>
  <si>
    <t>貯水の評価</t>
    <rPh sb="0" eb="2">
      <t>チョスイ</t>
    </rPh>
    <rPh sb="3" eb="5">
      <t>ヒョウカ</t>
    </rPh>
    <phoneticPr fontId="18"/>
  </si>
  <si>
    <t>樹木そのものに含まれる水分量を評価します。</t>
    <rPh sb="0" eb="2">
      <t>ジュモク</t>
    </rPh>
    <rPh sb="7" eb="8">
      <t>フク</t>
    </rPh>
    <rPh sb="11" eb="14">
      <t>スイブンリョウ</t>
    </rPh>
    <rPh sb="15" eb="17">
      <t>ヒョウカ</t>
    </rPh>
    <phoneticPr fontId="18"/>
  </si>
  <si>
    <t>貯水の経済評価</t>
    <rPh sb="0" eb="2">
      <t>チョスイ</t>
    </rPh>
    <rPh sb="3" eb="5">
      <t>ケイザイ</t>
    </rPh>
    <rPh sb="5" eb="7">
      <t>ヒョウカ</t>
    </rPh>
    <phoneticPr fontId="18"/>
  </si>
  <si>
    <t>蒸散の評価</t>
    <rPh sb="0" eb="2">
      <t>ジョウサン</t>
    </rPh>
    <rPh sb="3" eb="5">
      <t>ヒョウカ</t>
    </rPh>
    <phoneticPr fontId="18"/>
  </si>
  <si>
    <t>蒸散の経済評価</t>
    <rPh sb="0" eb="2">
      <t>ジョウサン</t>
    </rPh>
    <rPh sb="3" eb="5">
      <t>ケイザイ</t>
    </rPh>
    <rPh sb="5" eb="7">
      <t>ヒョウカ</t>
    </rPh>
    <phoneticPr fontId="18"/>
  </si>
  <si>
    <r>
      <t>CO</t>
    </r>
    <r>
      <rPr>
        <vertAlign val="subscript"/>
        <sz val="11"/>
        <color theme="1"/>
        <rFont val="ＭＳ Ｐゴシック"/>
        <family val="3"/>
        <charset val="128"/>
        <scheme val="minor"/>
      </rPr>
      <t>2</t>
    </r>
    <r>
      <rPr>
        <sz val="11"/>
        <color theme="1"/>
        <rFont val="ＭＳ Ｐゴシック"/>
        <family val="3"/>
        <charset val="128"/>
        <scheme val="minor"/>
      </rPr>
      <t>固定の評価</t>
    </r>
    <rPh sb="3" eb="5">
      <t>コテイ</t>
    </rPh>
    <rPh sb="6" eb="8">
      <t>ヒョウカ</t>
    </rPh>
    <phoneticPr fontId="18"/>
  </si>
  <si>
    <r>
      <t>IPCCでも採用している蓄積変化法により計算します。すなわち、ある時点から次の時点までの樹木のバイオマスの変化量からCO</t>
    </r>
    <r>
      <rPr>
        <vertAlign val="subscript"/>
        <sz val="11"/>
        <color theme="1"/>
        <rFont val="ＭＳ Ｐゴシック"/>
        <family val="3"/>
        <charset val="128"/>
        <scheme val="minor"/>
      </rPr>
      <t>2</t>
    </r>
    <r>
      <rPr>
        <sz val="11"/>
        <color theme="1"/>
        <rFont val="ＭＳ Ｐゴシック"/>
        <family val="3"/>
        <charset val="128"/>
        <scheme val="minor"/>
      </rPr>
      <t>固定量を推定します。</t>
    </r>
    <rPh sb="6" eb="8">
      <t>サイヨウ</t>
    </rPh>
    <rPh sb="12" eb="14">
      <t>チクセキ</t>
    </rPh>
    <rPh sb="14" eb="16">
      <t>ヘンカ</t>
    </rPh>
    <rPh sb="16" eb="17">
      <t>ホウ</t>
    </rPh>
    <rPh sb="20" eb="22">
      <t>ケイサン</t>
    </rPh>
    <rPh sb="33" eb="35">
      <t>ジテン</t>
    </rPh>
    <rPh sb="37" eb="38">
      <t>ツギ</t>
    </rPh>
    <rPh sb="39" eb="41">
      <t>ジテン</t>
    </rPh>
    <rPh sb="44" eb="46">
      <t>ジュモク</t>
    </rPh>
    <rPh sb="53" eb="56">
      <t>ヘンカリョウ</t>
    </rPh>
    <rPh sb="61" eb="63">
      <t>コテイ</t>
    </rPh>
    <rPh sb="63" eb="64">
      <t>リョウ</t>
    </rPh>
    <rPh sb="65" eb="67">
      <t>スイテイ</t>
    </rPh>
    <phoneticPr fontId="18"/>
  </si>
  <si>
    <r>
      <t>CO</t>
    </r>
    <r>
      <rPr>
        <vertAlign val="subscript"/>
        <sz val="11"/>
        <color theme="1"/>
        <rFont val="ＭＳ Ｐゴシック"/>
        <family val="3"/>
        <charset val="128"/>
        <scheme val="minor"/>
      </rPr>
      <t>2</t>
    </r>
    <r>
      <rPr>
        <sz val="11"/>
        <color theme="1"/>
        <rFont val="ＭＳ Ｐゴシック"/>
        <family val="3"/>
        <charset val="128"/>
        <scheme val="minor"/>
      </rPr>
      <t>固定の経済価値</t>
    </r>
    <rPh sb="3" eb="5">
      <t>コテイ</t>
    </rPh>
    <rPh sb="6" eb="10">
      <t>ケイザイカチ</t>
    </rPh>
    <phoneticPr fontId="18"/>
  </si>
  <si>
    <t>代替機能
単価</t>
    <rPh sb="0" eb="4">
      <t>ダイタイキノウ</t>
    </rPh>
    <rPh sb="5" eb="7">
      <t>タンカ</t>
    </rPh>
    <phoneticPr fontId="18"/>
  </si>
  <si>
    <t>評価方法の考え方・注意事項</t>
    <rPh sb="0" eb="4">
      <t>ヒョウカホウホウ</t>
    </rPh>
    <rPh sb="5" eb="6">
      <t>カンガ</t>
    </rPh>
    <rPh sb="7" eb="8">
      <t>カタ</t>
    </rPh>
    <rPh sb="9" eb="13">
      <t>チュウイジコウ</t>
    </rPh>
    <phoneticPr fontId="18"/>
  </si>
  <si>
    <t>項目</t>
    <rPh sb="0" eb="2">
      <t>コウモク</t>
    </rPh>
    <phoneticPr fontId="18"/>
  </si>
  <si>
    <t>詳細</t>
    <rPh sb="0" eb="2">
      <t>ショウサイ</t>
    </rPh>
    <phoneticPr fontId="18"/>
  </si>
  <si>
    <t>大気汚染物質吸収</t>
    <rPh sb="0" eb="6">
      <t>タイキオセン</t>
    </rPh>
    <rPh sb="6" eb="8">
      <t>キュウシュウ</t>
    </rPh>
    <phoneticPr fontId="18"/>
  </si>
  <si>
    <t>貯水</t>
    <rPh sb="0" eb="2">
      <t>チョスイ</t>
    </rPh>
    <phoneticPr fontId="18"/>
  </si>
  <si>
    <t>気象緩和</t>
    <rPh sb="0" eb="2">
      <t>キショウ</t>
    </rPh>
    <rPh sb="2" eb="4">
      <t>カンワ</t>
    </rPh>
    <phoneticPr fontId="18"/>
  </si>
  <si>
    <t>機能</t>
    <rPh sb="0" eb="2">
      <t>キノウ</t>
    </rPh>
    <phoneticPr fontId="18"/>
  </si>
  <si>
    <t>(7) (6)のデータセットに式②をフィッティングして、林齢から生育指数を算出する</t>
    <rPh sb="15" eb="16">
      <t>シキ</t>
    </rPh>
    <rPh sb="28" eb="30">
      <t>リンレイ</t>
    </rPh>
    <rPh sb="32" eb="34">
      <t>セイイク</t>
    </rPh>
    <rPh sb="34" eb="36">
      <t>シスウ</t>
    </rPh>
    <rPh sb="37" eb="39">
      <t>サンシュツ</t>
    </rPh>
    <phoneticPr fontId="18"/>
  </si>
  <si>
    <t>気象緩和</t>
    <rPh sb="0" eb="4">
      <t>キショウカンワ</t>
    </rPh>
    <phoneticPr fontId="18"/>
  </si>
  <si>
    <t>為替レート</t>
    <rPh sb="0" eb="2">
      <t>カワセ</t>
    </rPh>
    <phoneticPr fontId="18"/>
  </si>
  <si>
    <t>\/USD</t>
    <phoneticPr fontId="18"/>
  </si>
  <si>
    <t>水道料金(ドル)</t>
    <rPh sb="0" eb="4">
      <t>スイドウ</t>
    </rPh>
    <phoneticPr fontId="18"/>
  </si>
  <si>
    <t>USD/m3</t>
    <phoneticPr fontId="18"/>
  </si>
  <si>
    <r>
      <t>日銀・2</t>
    </r>
    <r>
      <rPr>
        <sz val="9"/>
        <color theme="1"/>
        <rFont val="ＭＳ Ｐゴシック"/>
        <family val="3"/>
        <charset val="128"/>
        <scheme val="minor"/>
      </rPr>
      <t>014年12月スポット月中平均</t>
    </r>
    <rPh sb="0" eb="2">
      <t>ニチギン</t>
    </rPh>
    <rPh sb="7" eb="8">
      <t>ネン</t>
    </rPh>
    <rPh sb="10" eb="11">
      <t>ガツ</t>
    </rPh>
    <rPh sb="15" eb="17">
      <t>ゲッチュウ</t>
    </rPh>
    <rPh sb="17" eb="19">
      <t>ヘイキン</t>
    </rPh>
    <phoneticPr fontId="18"/>
  </si>
  <si>
    <r>
      <t>\</t>
    </r>
    <r>
      <rPr>
        <sz val="11"/>
        <color theme="1"/>
        <rFont val="ＭＳ Ｐゴシック"/>
        <family val="2"/>
        <charset val="128"/>
        <scheme val="minor"/>
      </rPr>
      <t>/m3</t>
    </r>
    <phoneticPr fontId="18"/>
  </si>
  <si>
    <t>←整数・半角数字で入力</t>
    <rPh sb="1" eb="3">
      <t>セイスウ</t>
    </rPh>
    <rPh sb="4" eb="8">
      <t>ハンカクスウジ</t>
    </rPh>
    <rPh sb="9" eb="11">
      <t>ニュウリョク</t>
    </rPh>
    <phoneticPr fontId="18"/>
  </si>
  <si>
    <t>機能量</t>
    <rPh sb="0" eb="2">
      <t>キノウ</t>
    </rPh>
    <rPh sb="2" eb="3">
      <t>リョウ</t>
    </rPh>
    <phoneticPr fontId="69"/>
  </si>
  <si>
    <t>経済評価</t>
    <rPh sb="0" eb="2">
      <t>ケイザイ</t>
    </rPh>
    <rPh sb="2" eb="4">
      <t>ヒョウカ</t>
    </rPh>
    <phoneticPr fontId="69"/>
  </si>
  <si>
    <t>気候の制御</t>
    <rPh sb="0" eb="2">
      <t>キコウ</t>
    </rPh>
    <rPh sb="3" eb="5">
      <t>セイギョ</t>
    </rPh>
    <phoneticPr fontId="69"/>
  </si>
  <si>
    <t>大気汚染物質
吸収</t>
    <rPh sb="0" eb="2">
      <t>タイキジョウカ</t>
    </rPh>
    <rPh sb="2" eb="6">
      <t>オセンブッシツ</t>
    </rPh>
    <rPh sb="7" eb="9">
      <t>キュウシュウ</t>
    </rPh>
    <phoneticPr fontId="69"/>
  </si>
  <si>
    <t>酸素生成</t>
    <rPh sb="0" eb="2">
      <t>サンソ</t>
    </rPh>
    <rPh sb="2" eb="4">
      <t>セイセイ</t>
    </rPh>
    <phoneticPr fontId="69"/>
  </si>
  <si>
    <t>貯水</t>
    <rPh sb="0" eb="2">
      <t>チョスイ</t>
    </rPh>
    <phoneticPr fontId="69"/>
  </si>
  <si>
    <t>気象緩和</t>
    <rPh sb="0" eb="4">
      <t>キショウカンワ</t>
    </rPh>
    <phoneticPr fontId="69"/>
  </si>
  <si>
    <t>合計</t>
    <rPh sb="0" eb="2">
      <t>ゴウケイ</t>
    </rPh>
    <phoneticPr fontId="69"/>
  </si>
  <si>
    <t>単位面積あたりの経済価値</t>
    <rPh sb="0" eb="2">
      <t>タンイ</t>
    </rPh>
    <rPh sb="2" eb="4">
      <t>メンセキ</t>
    </rPh>
    <rPh sb="8" eb="10">
      <t>ケイザイ</t>
    </rPh>
    <rPh sb="10" eb="12">
      <t>カチ</t>
    </rPh>
    <phoneticPr fontId="69"/>
  </si>
  <si>
    <t>二酸化炭素固定量</t>
    <rPh sb="0" eb="5">
      <t>ニサンカタンソ</t>
    </rPh>
    <rPh sb="5" eb="7">
      <t>コテイ</t>
    </rPh>
    <phoneticPr fontId="69"/>
  </si>
  <si>
    <t>酸素放出量</t>
    <rPh sb="0" eb="5">
      <t>サンソホウシュツリョウ</t>
    </rPh>
    <phoneticPr fontId="69"/>
  </si>
  <si>
    <t>貯水量</t>
    <rPh sb="0" eb="3">
      <t>チョスイリョウ</t>
    </rPh>
    <phoneticPr fontId="69"/>
  </si>
  <si>
    <t>蒸散量</t>
    <rPh sb="0" eb="3">
      <t>ジョウサンリョウ</t>
    </rPh>
    <phoneticPr fontId="69"/>
  </si>
  <si>
    <r>
      <t>CO</t>
    </r>
    <r>
      <rPr>
        <vertAlign val="subscript"/>
        <sz val="9"/>
        <color theme="1"/>
        <rFont val="ＭＳ Ｐゴシック"/>
        <family val="3"/>
        <charset val="128"/>
        <scheme val="minor"/>
      </rPr>
      <t>2</t>
    </r>
    <r>
      <rPr>
        <sz val="9"/>
        <color theme="1"/>
        <rFont val="ＭＳ Ｐゴシック"/>
        <family val="3"/>
        <charset val="128"/>
        <scheme val="minor"/>
      </rPr>
      <t>固定量
(kg-CO</t>
    </r>
    <r>
      <rPr>
        <vertAlign val="subscript"/>
        <sz val="9"/>
        <color theme="1"/>
        <rFont val="ＭＳ Ｐゴシック"/>
        <family val="3"/>
        <charset val="128"/>
        <scheme val="minor"/>
      </rPr>
      <t>2</t>
    </r>
    <r>
      <rPr>
        <sz val="9"/>
        <color theme="1"/>
        <rFont val="ＭＳ Ｐゴシック"/>
        <family val="3"/>
        <charset val="128"/>
        <scheme val="minor"/>
      </rPr>
      <t>/年)</t>
    </r>
    <rPh sb="3" eb="5">
      <t>コテイ</t>
    </rPh>
    <phoneticPr fontId="69"/>
  </si>
  <si>
    <r>
      <t>NO</t>
    </r>
    <r>
      <rPr>
        <vertAlign val="subscript"/>
        <sz val="9"/>
        <color theme="1"/>
        <rFont val="ＭＳ Ｐゴシック"/>
        <family val="3"/>
        <charset val="128"/>
        <scheme val="minor"/>
      </rPr>
      <t>2</t>
    </r>
    <r>
      <rPr>
        <sz val="9"/>
        <color theme="1"/>
        <rFont val="ＭＳ Ｐゴシック"/>
        <family val="3"/>
        <charset val="128"/>
        <scheme val="minor"/>
      </rPr>
      <t>吸収量
(kg-NO</t>
    </r>
    <r>
      <rPr>
        <vertAlign val="subscript"/>
        <sz val="9"/>
        <color theme="1"/>
        <rFont val="ＭＳ Ｐゴシック"/>
        <family val="3"/>
        <charset val="128"/>
        <scheme val="minor"/>
      </rPr>
      <t>2</t>
    </r>
    <r>
      <rPr>
        <sz val="9"/>
        <color theme="1"/>
        <rFont val="ＭＳ Ｐゴシック"/>
        <family val="3"/>
        <charset val="128"/>
        <scheme val="minor"/>
      </rPr>
      <t>/年)</t>
    </r>
    <rPh sb="3" eb="6">
      <t>キュウシュウリョウ</t>
    </rPh>
    <phoneticPr fontId="69"/>
  </si>
  <si>
    <r>
      <t>SO</t>
    </r>
    <r>
      <rPr>
        <vertAlign val="subscript"/>
        <sz val="9"/>
        <color theme="1"/>
        <rFont val="ＭＳ Ｐゴシック"/>
        <family val="3"/>
        <charset val="128"/>
        <scheme val="minor"/>
      </rPr>
      <t>2</t>
    </r>
    <r>
      <rPr>
        <sz val="9"/>
        <color theme="1"/>
        <rFont val="ＭＳ Ｐゴシック"/>
        <family val="3"/>
        <charset val="128"/>
        <scheme val="minor"/>
      </rPr>
      <t>吸収量
(kg-SO</t>
    </r>
    <r>
      <rPr>
        <vertAlign val="subscript"/>
        <sz val="9"/>
        <color theme="1"/>
        <rFont val="ＭＳ Ｐゴシック"/>
        <family val="3"/>
        <charset val="128"/>
        <scheme val="minor"/>
      </rPr>
      <t>2</t>
    </r>
    <r>
      <rPr>
        <sz val="9"/>
        <color theme="1"/>
        <rFont val="ＭＳ Ｐゴシック"/>
        <family val="3"/>
        <charset val="128"/>
        <scheme val="minor"/>
      </rPr>
      <t>/年)</t>
    </r>
    <rPh sb="3" eb="6">
      <t>キュウシュウリョウ</t>
    </rPh>
    <phoneticPr fontId="69"/>
  </si>
  <si>
    <r>
      <t>O</t>
    </r>
    <r>
      <rPr>
        <vertAlign val="subscript"/>
        <sz val="9"/>
        <color theme="1"/>
        <rFont val="ＭＳ Ｐゴシック"/>
        <family val="3"/>
        <charset val="128"/>
        <scheme val="minor"/>
      </rPr>
      <t>3</t>
    </r>
    <r>
      <rPr>
        <sz val="9"/>
        <color theme="1"/>
        <rFont val="ＭＳ Ｐゴシック"/>
        <family val="3"/>
        <charset val="128"/>
        <scheme val="minor"/>
      </rPr>
      <t>吸収量
(kg-O</t>
    </r>
    <r>
      <rPr>
        <vertAlign val="subscript"/>
        <sz val="9"/>
        <color theme="1"/>
        <rFont val="ＭＳ Ｐゴシック"/>
        <family val="3"/>
        <charset val="128"/>
        <scheme val="minor"/>
      </rPr>
      <t>3</t>
    </r>
    <r>
      <rPr>
        <sz val="9"/>
        <color theme="1"/>
        <rFont val="ＭＳ Ｐゴシック"/>
        <family val="3"/>
        <charset val="128"/>
        <scheme val="minor"/>
      </rPr>
      <t>/年)</t>
    </r>
    <rPh sb="2" eb="5">
      <t>キュウシュウリョウ</t>
    </rPh>
    <phoneticPr fontId="69"/>
  </si>
  <si>
    <r>
      <t>酸素放出量
(kg-O</t>
    </r>
    <r>
      <rPr>
        <vertAlign val="subscript"/>
        <sz val="9"/>
        <color theme="1"/>
        <rFont val="ＭＳ Ｐゴシック"/>
        <family val="3"/>
        <charset val="128"/>
        <scheme val="minor"/>
      </rPr>
      <t>2</t>
    </r>
    <r>
      <rPr>
        <sz val="9"/>
        <color theme="1"/>
        <rFont val="ＭＳ Ｐゴシック"/>
        <family val="3"/>
        <charset val="128"/>
        <scheme val="minor"/>
      </rPr>
      <t>/年)</t>
    </r>
    <rPh sb="0" eb="5">
      <t>サンソホウシュツリョウ</t>
    </rPh>
    <rPh sb="13" eb="14">
      <t>ネン</t>
    </rPh>
    <phoneticPr fontId="69"/>
  </si>
  <si>
    <r>
      <t>貯水量
(kg-H</t>
    </r>
    <r>
      <rPr>
        <vertAlign val="subscript"/>
        <sz val="9"/>
        <color theme="1"/>
        <rFont val="ＭＳ Ｐゴシック"/>
        <family val="3"/>
        <charset val="128"/>
        <scheme val="minor"/>
      </rPr>
      <t>2</t>
    </r>
    <r>
      <rPr>
        <sz val="9"/>
        <color theme="1"/>
        <rFont val="ＭＳ Ｐゴシック"/>
        <family val="3"/>
        <charset val="128"/>
        <scheme val="minor"/>
      </rPr>
      <t>O/年)</t>
    </r>
    <rPh sb="0" eb="3">
      <t>チョスイリョウ</t>
    </rPh>
    <rPh sb="12" eb="13">
      <t>ネン</t>
    </rPh>
    <phoneticPr fontId="69"/>
  </si>
  <si>
    <r>
      <t>蒸散量
(m</t>
    </r>
    <r>
      <rPr>
        <vertAlign val="superscript"/>
        <sz val="9"/>
        <color theme="1"/>
        <rFont val="ＭＳ Ｐゴシック"/>
        <family val="3"/>
        <charset val="128"/>
        <scheme val="minor"/>
      </rPr>
      <t>3</t>
    </r>
    <r>
      <rPr>
        <sz val="9"/>
        <color theme="1"/>
        <rFont val="ＭＳ Ｐゴシック"/>
        <family val="3"/>
        <charset val="128"/>
        <scheme val="minor"/>
      </rPr>
      <t>/年)</t>
    </r>
    <rPh sb="0" eb="3">
      <t>ジョウサンリョウ</t>
    </rPh>
    <rPh sb="8" eb="9">
      <t>ネン</t>
    </rPh>
    <phoneticPr fontId="69"/>
  </si>
  <si>
    <r>
      <t>NO</t>
    </r>
    <r>
      <rPr>
        <vertAlign val="subscript"/>
        <sz val="9"/>
        <color theme="1"/>
        <rFont val="ＭＳ Ｐゴシック"/>
        <family val="3"/>
        <charset val="128"/>
        <scheme val="minor"/>
      </rPr>
      <t>2</t>
    </r>
    <r>
      <rPr>
        <sz val="9"/>
        <color theme="1"/>
        <rFont val="ＭＳ Ｐゴシック"/>
        <family val="3"/>
        <charset val="128"/>
        <scheme val="minor"/>
      </rPr>
      <t>吸収量</t>
    </r>
    <rPh sb="3" eb="6">
      <t>キュウシュウリョウ</t>
    </rPh>
    <phoneticPr fontId="69"/>
  </si>
  <si>
    <r>
      <t>SO</t>
    </r>
    <r>
      <rPr>
        <vertAlign val="subscript"/>
        <sz val="9"/>
        <color theme="1"/>
        <rFont val="ＭＳ Ｐゴシック"/>
        <family val="3"/>
        <charset val="128"/>
        <scheme val="minor"/>
      </rPr>
      <t>2</t>
    </r>
    <r>
      <rPr>
        <sz val="9"/>
        <color theme="1"/>
        <rFont val="ＭＳ Ｐゴシック"/>
        <family val="3"/>
        <charset val="128"/>
        <scheme val="minor"/>
      </rPr>
      <t>吸収量</t>
    </r>
    <rPh sb="3" eb="6">
      <t>キュウシュウリョウ</t>
    </rPh>
    <phoneticPr fontId="69"/>
  </si>
  <si>
    <r>
      <t>O</t>
    </r>
    <r>
      <rPr>
        <vertAlign val="subscript"/>
        <sz val="9"/>
        <color theme="1"/>
        <rFont val="ＭＳ Ｐゴシック"/>
        <family val="3"/>
        <charset val="128"/>
        <scheme val="minor"/>
      </rPr>
      <t>3</t>
    </r>
    <r>
      <rPr>
        <sz val="9"/>
        <color theme="1"/>
        <rFont val="ＭＳ Ｐゴシック"/>
        <family val="3"/>
        <charset val="128"/>
        <scheme val="minor"/>
      </rPr>
      <t>吸収量</t>
    </r>
    <rPh sb="2" eb="5">
      <t>キュウシュウリョウ</t>
    </rPh>
    <phoneticPr fontId="69"/>
  </si>
  <si>
    <t>Ⅰ</t>
    <phoneticPr fontId="18"/>
  </si>
  <si>
    <t>Ⅱ</t>
    <phoneticPr fontId="18"/>
  </si>
  <si>
    <t>Ⅲ</t>
    <phoneticPr fontId="18"/>
  </si>
  <si>
    <t>Ⅱ</t>
    <phoneticPr fontId="18"/>
  </si>
  <si>
    <t>Ⅲ</t>
    <phoneticPr fontId="18"/>
  </si>
  <si>
    <t>Ⅰ</t>
    <phoneticPr fontId="18"/>
  </si>
  <si>
    <t>Ⅱ</t>
    <phoneticPr fontId="18"/>
  </si>
  <si>
    <t>生育良好(Ⅰ)</t>
    <rPh sb="0" eb="4">
      <t>セイイクリョウコウ</t>
    </rPh>
    <phoneticPr fontId="18"/>
  </si>
  <si>
    <t>生育不良(Ⅲ)</t>
    <rPh sb="0" eb="2">
      <t>セイイク</t>
    </rPh>
    <rPh sb="2" eb="4">
      <t>フリョウ</t>
    </rPh>
    <phoneticPr fontId="18"/>
  </si>
  <si>
    <t>(5) 生育良好(Ⅰ)／不良(Ⅲ)での樹高（Ht ± (4/3)σt = Ht±2σの上または下３分の１の中央値)を求める</t>
    <rPh sb="4" eb="6">
      <t>セイイク</t>
    </rPh>
    <rPh sb="6" eb="8">
      <t>リョウコウ</t>
    </rPh>
    <rPh sb="12" eb="14">
      <t>フリョウ</t>
    </rPh>
    <rPh sb="19" eb="21">
      <t>ジュコウ</t>
    </rPh>
    <rPh sb="43" eb="44">
      <t>ウエ</t>
    </rPh>
    <rPh sb="47" eb="48">
      <t>シタ</t>
    </rPh>
    <rPh sb="49" eb="50">
      <t>ブン</t>
    </rPh>
    <rPh sb="53" eb="56">
      <t>チュウオウチ</t>
    </rPh>
    <rPh sb="58" eb="61">
      <t>モトメ</t>
    </rPh>
    <phoneticPr fontId="18"/>
  </si>
  <si>
    <t>生育普通(Ⅱ)：上限</t>
    <rPh sb="0" eb="4">
      <t>セイイクフツウ</t>
    </rPh>
    <rPh sb="8" eb="10">
      <t>ジョウゲン</t>
    </rPh>
    <phoneticPr fontId="18"/>
  </si>
  <si>
    <t>生育普通(Ⅱ)：下限</t>
    <rPh sb="0" eb="4">
      <t>セイイク</t>
    </rPh>
    <rPh sb="8" eb="10">
      <t>カゲン</t>
    </rPh>
    <phoneticPr fontId="18"/>
  </si>
  <si>
    <t>③生育指数の判断基準</t>
    <rPh sb="1" eb="3">
      <t>セイイク</t>
    </rPh>
    <rPh sb="3" eb="5">
      <t>シスウ</t>
    </rPh>
    <rPh sb="6" eb="10">
      <t>ハンダンキジュン</t>
    </rPh>
    <phoneticPr fontId="18"/>
  </si>
  <si>
    <t>樹種</t>
    <rPh sb="0" eb="2">
      <t>ジュシュ</t>
    </rPh>
    <phoneticPr fontId="18"/>
  </si>
  <si>
    <t>常緑広葉樹</t>
    <rPh sb="0" eb="5">
      <t>ジョウリョク</t>
    </rPh>
    <phoneticPr fontId="18"/>
  </si>
  <si>
    <t>落葉広葉樹</t>
    <rPh sb="0" eb="5">
      <t>ラクヨウ</t>
    </rPh>
    <phoneticPr fontId="18"/>
  </si>
  <si>
    <t>針葉樹</t>
    <rPh sb="0" eb="3">
      <t>シン</t>
    </rPh>
    <phoneticPr fontId="18"/>
  </si>
  <si>
    <t>乾量基準含水率</t>
  </si>
  <si>
    <t>排煙脱硫装置の減価償却費および維持費</t>
    <phoneticPr fontId="18"/>
  </si>
  <si>
    <t>代替機能の一覧</t>
    <rPh sb="0" eb="2">
      <t>ダイタイ</t>
    </rPh>
    <rPh sb="2" eb="4">
      <t>キノウ</t>
    </rPh>
    <rPh sb="5" eb="7">
      <t>イチラン</t>
    </rPh>
    <phoneticPr fontId="18"/>
  </si>
  <si>
    <t>酸素の供給</t>
    <rPh sb="0" eb="2">
      <t>サンソ</t>
    </rPh>
    <rPh sb="3" eb="5">
      <t>キョウキュウ</t>
    </rPh>
    <phoneticPr fontId="18"/>
  </si>
  <si>
    <t>炭素固定累積量</t>
    <rPh sb="0" eb="2">
      <t>タンソ</t>
    </rPh>
    <rPh sb="2" eb="4">
      <t>コテイ</t>
    </rPh>
    <rPh sb="4" eb="6">
      <t>ルイセキ</t>
    </rPh>
    <rPh sb="6" eb="7">
      <t>キュウシュウリョウ</t>
    </rPh>
    <phoneticPr fontId="18"/>
  </si>
  <si>
    <t>t-C/ha</t>
    <phoneticPr fontId="18"/>
  </si>
  <si>
    <t>t/ha</t>
    <phoneticPr fontId="18"/>
  </si>
  <si>
    <t>バイオマス増加量</t>
    <rPh sb="5" eb="7">
      <t>ゾウカ</t>
    </rPh>
    <rPh sb="7" eb="8">
      <t>リョウ</t>
    </rPh>
    <phoneticPr fontId="18"/>
  </si>
  <si>
    <t>バイオマス総量</t>
    <rPh sb="5" eb="7">
      <t>ソウリョウ</t>
    </rPh>
    <phoneticPr fontId="18"/>
  </si>
  <si>
    <t>バイオマス総量</t>
    <rPh sb="5" eb="7">
      <t>ソウリョウ</t>
    </rPh>
    <rPh sb="6" eb="7">
      <t>リョウ</t>
    </rPh>
    <phoneticPr fontId="18"/>
  </si>
  <si>
    <t>t</t>
    <phoneticPr fontId="18"/>
  </si>
  <si>
    <t>総含水量</t>
    <rPh sb="0" eb="4">
      <t>ソウガンスイリョウ</t>
    </rPh>
    <phoneticPr fontId="18"/>
  </si>
  <si>
    <t>m3-H2O</t>
    <phoneticPr fontId="18"/>
  </si>
  <si>
    <t>年間価値</t>
    <rPh sb="0" eb="2">
      <t>ネンカン</t>
    </rPh>
    <rPh sb="2" eb="4">
      <t>カチ</t>
    </rPh>
    <phoneticPr fontId="18"/>
  </si>
  <si>
    <t>累積価値</t>
    <rPh sb="0" eb="2">
      <t>ルイセキ</t>
    </rPh>
    <rPh sb="2" eb="4">
      <t>カチ</t>
    </rPh>
    <phoneticPr fontId="18"/>
  </si>
  <si>
    <t>CO2固定量(kg-CO2/m2/yr)</t>
    <rPh sb="3" eb="5">
      <t>コテイ</t>
    </rPh>
    <rPh sb="5" eb="6">
      <t>リョウ</t>
    </rPh>
    <phoneticPr fontId="18"/>
  </si>
  <si>
    <t>累積CO2固定量(kg-CO2/m2)</t>
    <rPh sb="0" eb="2">
      <t>ルイセキ</t>
    </rPh>
    <rPh sb="5" eb="7">
      <t>コテイ</t>
    </rPh>
    <rPh sb="7" eb="8">
      <t>リョウ</t>
    </rPh>
    <phoneticPr fontId="18"/>
  </si>
  <si>
    <t>累積量</t>
    <rPh sb="0" eb="2">
      <t>ルイセキ</t>
    </rPh>
    <rPh sb="2" eb="3">
      <t>リョウ</t>
    </rPh>
    <phoneticPr fontId="18"/>
  </si>
  <si>
    <t>経済価値</t>
    <rPh sb="0" eb="4">
      <t>ケイザイカチ</t>
    </rPh>
    <phoneticPr fontId="18"/>
  </si>
  <si>
    <t>(kg-NO2/m2)</t>
    <phoneticPr fontId="40"/>
  </si>
  <si>
    <t>(kg-SO2/m2)</t>
    <phoneticPr fontId="40"/>
  </si>
  <si>
    <t>(kg-O3/m2)</t>
    <phoneticPr fontId="18"/>
  </si>
  <si>
    <t>(kg-O2/m2)</t>
    <phoneticPr fontId="18"/>
  </si>
  <si>
    <t>(kg-NO2)</t>
  </si>
  <si>
    <t>(kg-SO2)</t>
  </si>
  <si>
    <t>(kg-O3)</t>
  </si>
  <si>
    <t>(kg-O2)</t>
  </si>
  <si>
    <t>円/m2</t>
    <rPh sb="0" eb="1">
      <t>エン</t>
    </rPh>
    <phoneticPr fontId="18"/>
  </si>
  <si>
    <t>年間量</t>
    <rPh sb="0" eb="2">
      <t>ネンカン</t>
    </rPh>
    <rPh sb="2" eb="3">
      <t>リョウ</t>
    </rPh>
    <phoneticPr fontId="18"/>
  </si>
  <si>
    <t>kg-H2O</t>
    <phoneticPr fontId="18"/>
  </si>
  <si>
    <t>累積機能量</t>
    <rPh sb="0" eb="2">
      <t>ルイセキ</t>
    </rPh>
    <rPh sb="2" eb="4">
      <t>キノウ</t>
    </rPh>
    <rPh sb="4" eb="5">
      <t>リョウ</t>
    </rPh>
    <phoneticPr fontId="18"/>
  </si>
  <si>
    <t>累積経済価値</t>
    <rPh sb="0" eb="2">
      <t>ルイセキ</t>
    </rPh>
    <rPh sb="2" eb="6">
      <t>ケイザイカチ</t>
    </rPh>
    <phoneticPr fontId="18"/>
  </si>
  <si>
    <r>
      <t>CO</t>
    </r>
    <r>
      <rPr>
        <vertAlign val="subscript"/>
        <sz val="9"/>
        <color theme="1"/>
        <rFont val="ＭＳ Ｐゴシック"/>
        <family val="3"/>
        <charset val="128"/>
        <scheme val="minor"/>
      </rPr>
      <t>2</t>
    </r>
    <r>
      <rPr>
        <sz val="9"/>
        <color theme="1"/>
        <rFont val="ＭＳ Ｐゴシック"/>
        <family val="3"/>
        <charset val="128"/>
        <scheme val="minor"/>
      </rPr>
      <t>固定量
(kg-CO</t>
    </r>
    <r>
      <rPr>
        <vertAlign val="subscript"/>
        <sz val="9"/>
        <color theme="1"/>
        <rFont val="ＭＳ Ｐゴシック"/>
        <family val="3"/>
        <charset val="128"/>
        <scheme val="minor"/>
      </rPr>
      <t>2</t>
    </r>
    <r>
      <rPr>
        <sz val="9"/>
        <color theme="1"/>
        <rFont val="ＭＳ Ｐゴシック"/>
        <family val="3"/>
        <charset val="128"/>
        <scheme val="minor"/>
      </rPr>
      <t>)</t>
    </r>
    <rPh sb="3" eb="5">
      <t>コテイ</t>
    </rPh>
    <phoneticPr fontId="69"/>
  </si>
  <si>
    <r>
      <t>酸素放出量
(kg-O</t>
    </r>
    <r>
      <rPr>
        <vertAlign val="subscript"/>
        <sz val="9"/>
        <color theme="1"/>
        <rFont val="ＭＳ Ｐゴシック"/>
        <family val="3"/>
        <charset val="128"/>
        <scheme val="minor"/>
      </rPr>
      <t>2</t>
    </r>
    <r>
      <rPr>
        <sz val="9"/>
        <color theme="1"/>
        <rFont val="ＭＳ Ｐゴシック"/>
        <family val="3"/>
        <charset val="128"/>
        <scheme val="minor"/>
      </rPr>
      <t>)</t>
    </r>
    <rPh sb="0" eb="5">
      <t>サンソホウシュツリョウ</t>
    </rPh>
    <phoneticPr fontId="69"/>
  </si>
  <si>
    <r>
      <t>貯水量
(kg-H</t>
    </r>
    <r>
      <rPr>
        <vertAlign val="subscript"/>
        <sz val="9"/>
        <color theme="1"/>
        <rFont val="ＭＳ Ｐゴシック"/>
        <family val="3"/>
        <charset val="128"/>
        <scheme val="minor"/>
      </rPr>
      <t>2</t>
    </r>
    <r>
      <rPr>
        <sz val="9"/>
        <color theme="1"/>
        <rFont val="ＭＳ Ｐゴシック"/>
        <family val="3"/>
        <charset val="128"/>
        <scheme val="minor"/>
      </rPr>
      <t>O)</t>
    </r>
    <rPh sb="0" eb="3">
      <t>チョスイリョウ</t>
    </rPh>
    <phoneticPr fontId="69"/>
  </si>
  <si>
    <r>
      <t>CO</t>
    </r>
    <r>
      <rPr>
        <vertAlign val="subscript"/>
        <sz val="9"/>
        <color theme="1"/>
        <rFont val="ＭＳ Ｐゴシック"/>
        <family val="3"/>
        <charset val="128"/>
        <scheme val="minor"/>
      </rPr>
      <t>2</t>
    </r>
    <r>
      <rPr>
        <sz val="9"/>
        <color theme="1"/>
        <rFont val="ＭＳ Ｐゴシック"/>
        <family val="3"/>
        <charset val="128"/>
        <scheme val="minor"/>
      </rPr>
      <t>固定量</t>
    </r>
    <rPh sb="3" eb="5">
      <t>コテイ</t>
    </rPh>
    <phoneticPr fontId="69"/>
  </si>
  <si>
    <t>評価方法</t>
    <rPh sb="0" eb="4">
      <t>ヒョウカホウホウ</t>
    </rPh>
    <phoneticPr fontId="18"/>
  </si>
  <si>
    <t>2013年の森林吸収系J-VERの平均価格</t>
    <phoneticPr fontId="18"/>
  </si>
  <si>
    <t>ドライミストによる水の噴霧</t>
    <rPh sb="9" eb="10">
      <t>ミズ</t>
    </rPh>
    <rPh sb="11" eb="13">
      <t>フンム</t>
    </rPh>
    <phoneticPr fontId="18"/>
  </si>
  <si>
    <t>このツールの利用によって生じたいかなる損害に対してバードライフは一切の責任を負わないものとします。</t>
    <rPh sb="12" eb="13">
      <t>ショウ</t>
    </rPh>
    <rPh sb="22" eb="23">
      <t>タイ</t>
    </rPh>
    <rPh sb="32" eb="34">
      <t>イッサイ</t>
    </rPh>
    <phoneticPr fontId="18"/>
  </si>
  <si>
    <t>このツールの著作権は一般社団法人バードライフ・インターナショナル東京（以下バードライフ）が保有します。無許可の転載･販売･再配布を禁じます。</t>
    <rPh sb="10" eb="16">
      <t>イッパンシャダンホウジン</t>
    </rPh>
    <rPh sb="32" eb="34">
      <t>トウキョウ</t>
    </rPh>
    <rPh sb="35" eb="37">
      <t>イカ</t>
    </rPh>
    <phoneticPr fontId="18"/>
  </si>
  <si>
    <t>著作権</t>
    <rPh sb="0" eb="3">
      <t>チョサクケン</t>
    </rPh>
    <phoneticPr fontId="18"/>
  </si>
  <si>
    <t>免責事項</t>
    <rPh sb="0" eb="4">
      <t>メンセキジコウ</t>
    </rPh>
    <phoneticPr fontId="18"/>
  </si>
  <si>
    <t>「①サイト情報」の「都道府県」は、植林場所の都道府県をプルダウンメニューから選択して下さい。</t>
    <rPh sb="5" eb="7">
      <t>ジョウホウ</t>
    </rPh>
    <rPh sb="10" eb="14">
      <t>トドウフケン</t>
    </rPh>
    <rPh sb="17" eb="19">
      <t>ショクリン</t>
    </rPh>
    <rPh sb="19" eb="21">
      <t>バショ</t>
    </rPh>
    <rPh sb="22" eb="26">
      <t>トドウフケン</t>
    </rPh>
    <rPh sb="38" eb="40">
      <t>センタク</t>
    </rPh>
    <rPh sb="42" eb="43">
      <t>クダ</t>
    </rPh>
    <phoneticPr fontId="18"/>
  </si>
  <si>
    <t>「①サイト情報」の「地域」は、植林場所の最寄りの地名をプルダウンメニューから選択して下さい。</t>
    <rPh sb="5" eb="7">
      <t>ジョウホウ</t>
    </rPh>
    <rPh sb="10" eb="12">
      <t>チイキ</t>
    </rPh>
    <rPh sb="15" eb="17">
      <t>ショクリン</t>
    </rPh>
    <rPh sb="17" eb="19">
      <t>バショ</t>
    </rPh>
    <rPh sb="20" eb="22">
      <t>モヨ</t>
    </rPh>
    <rPh sb="24" eb="26">
      <t>チメイ</t>
    </rPh>
    <rPh sb="38" eb="40">
      <t>センタク</t>
    </rPh>
    <rPh sb="42" eb="43">
      <t>クダ</t>
    </rPh>
    <phoneticPr fontId="18"/>
  </si>
  <si>
    <t>「②植林情報」の「主な樹種」は、「落葉広葉樹」「常緑広葉樹」「針葉樹」のうち、最も割合の高いものを選択します。</t>
    <rPh sb="2" eb="4">
      <t>ショクリン</t>
    </rPh>
    <rPh sb="4" eb="6">
      <t>ジョウホウ</t>
    </rPh>
    <rPh sb="9" eb="10">
      <t>オモ</t>
    </rPh>
    <rPh sb="11" eb="13">
      <t>ジュシュ</t>
    </rPh>
    <rPh sb="17" eb="22">
      <t>ラクヨウコウヨウジュ</t>
    </rPh>
    <rPh sb="24" eb="29">
      <t>ジョウリョクコウヨウジュ</t>
    </rPh>
    <rPh sb="31" eb="34">
      <t>シンヨウジュ</t>
    </rPh>
    <rPh sb="39" eb="40">
      <t>モット</t>
    </rPh>
    <rPh sb="41" eb="43">
      <t>ワリアイ</t>
    </rPh>
    <rPh sb="44" eb="45">
      <t>タカ</t>
    </rPh>
    <rPh sb="49" eb="51">
      <t>センタク</t>
    </rPh>
    <phoneticPr fontId="18"/>
  </si>
  <si>
    <r>
      <t>蒸散量
(m</t>
    </r>
    <r>
      <rPr>
        <vertAlign val="superscript"/>
        <sz val="9"/>
        <color theme="1"/>
        <rFont val="ＭＳ Ｐゴシック"/>
        <family val="3"/>
        <charset val="128"/>
        <scheme val="minor"/>
      </rPr>
      <t>3</t>
    </r>
    <rPh sb="0" eb="3">
      <t>ジョウサンリョウ</t>
    </rPh>
    <phoneticPr fontId="69"/>
  </si>
  <si>
    <r>
      <t>NO</t>
    </r>
    <r>
      <rPr>
        <vertAlign val="subscript"/>
        <sz val="9"/>
        <color theme="1"/>
        <rFont val="ＭＳ Ｐゴシック"/>
        <family val="3"/>
        <charset val="128"/>
        <scheme val="minor"/>
      </rPr>
      <t>2</t>
    </r>
    <r>
      <rPr>
        <sz val="9"/>
        <color theme="1"/>
        <rFont val="ＭＳ Ｐゴシック"/>
        <family val="3"/>
        <charset val="128"/>
        <scheme val="minor"/>
      </rPr>
      <t>吸収量
(kg-NO</t>
    </r>
    <r>
      <rPr>
        <vertAlign val="subscript"/>
        <sz val="9"/>
        <color theme="1"/>
        <rFont val="ＭＳ Ｐゴシック"/>
        <family val="3"/>
        <charset val="128"/>
        <scheme val="minor"/>
      </rPr>
      <t>2</t>
    </r>
    <r>
      <rPr>
        <sz val="9"/>
        <color theme="1"/>
        <rFont val="ＭＳ Ｐゴシック"/>
        <family val="3"/>
        <charset val="128"/>
        <scheme val="minor"/>
      </rPr>
      <t>)</t>
    </r>
    <rPh sb="3" eb="6">
      <t>キュウシュウリョウ</t>
    </rPh>
    <phoneticPr fontId="69"/>
  </si>
  <si>
    <r>
      <t>SO</t>
    </r>
    <r>
      <rPr>
        <vertAlign val="subscript"/>
        <sz val="9"/>
        <color theme="1"/>
        <rFont val="ＭＳ Ｐゴシック"/>
        <family val="3"/>
        <charset val="128"/>
        <scheme val="minor"/>
      </rPr>
      <t>2</t>
    </r>
    <r>
      <rPr>
        <sz val="9"/>
        <color theme="1"/>
        <rFont val="ＭＳ Ｐゴシック"/>
        <family val="3"/>
        <charset val="128"/>
        <scheme val="minor"/>
      </rPr>
      <t>吸収量
(kg-SO</t>
    </r>
    <r>
      <rPr>
        <vertAlign val="subscript"/>
        <sz val="9"/>
        <color theme="1"/>
        <rFont val="ＭＳ Ｐゴシック"/>
        <family val="3"/>
        <charset val="128"/>
        <scheme val="minor"/>
      </rPr>
      <t>2</t>
    </r>
    <r>
      <rPr>
        <sz val="9"/>
        <color theme="1"/>
        <rFont val="ＭＳ Ｐゴシック"/>
        <family val="3"/>
        <charset val="128"/>
        <scheme val="minor"/>
      </rPr>
      <t>)</t>
    </r>
    <rPh sb="3" eb="6">
      <t>キュウシュウリョウ</t>
    </rPh>
    <phoneticPr fontId="69"/>
  </si>
  <si>
    <r>
      <t>O</t>
    </r>
    <r>
      <rPr>
        <vertAlign val="subscript"/>
        <sz val="9"/>
        <color theme="1"/>
        <rFont val="ＭＳ Ｐゴシック"/>
        <family val="3"/>
        <charset val="128"/>
        <scheme val="minor"/>
      </rPr>
      <t>3</t>
    </r>
    <r>
      <rPr>
        <sz val="9"/>
        <color theme="1"/>
        <rFont val="ＭＳ Ｐゴシック"/>
        <family val="3"/>
        <charset val="128"/>
        <scheme val="minor"/>
      </rPr>
      <t>吸収量
(kg-O</t>
    </r>
    <r>
      <rPr>
        <vertAlign val="subscript"/>
        <sz val="9"/>
        <color theme="1"/>
        <rFont val="ＭＳ Ｐゴシック"/>
        <family val="3"/>
        <charset val="128"/>
        <scheme val="minor"/>
      </rPr>
      <t>3</t>
    </r>
    <r>
      <rPr>
        <sz val="9"/>
        <color theme="1"/>
        <rFont val="ＭＳ Ｐゴシック"/>
        <family val="3"/>
        <charset val="128"/>
        <scheme val="minor"/>
      </rPr>
      <t>)</t>
    </r>
    <rPh sb="2" eb="5">
      <t>キュウシュウリョウ</t>
    </rPh>
    <phoneticPr fontId="69"/>
  </si>
  <si>
    <t>吸収・排出総量</t>
    <rPh sb="0" eb="2">
      <t>キュウシュウ</t>
    </rPh>
    <rPh sb="3" eb="5">
      <t>ハイシュツ</t>
    </rPh>
    <rPh sb="5" eb="7">
      <t>ソウリョウ</t>
    </rPh>
    <phoneticPr fontId="18"/>
  </si>
  <si>
    <t>合計</t>
    <rPh sb="0" eb="2">
      <t>ゴウケイ</t>
    </rPh>
    <phoneticPr fontId="18"/>
  </si>
  <si>
    <t>単位面積あたり価値</t>
    <rPh sb="0" eb="9">
      <t>タンイ</t>
    </rPh>
    <phoneticPr fontId="18"/>
  </si>
  <si>
    <t>大気浄化機能</t>
    <rPh sb="0" eb="6">
      <t>タイキジョウカ</t>
    </rPh>
    <phoneticPr fontId="18"/>
  </si>
  <si>
    <t>気候変動の緩和</t>
    <rPh sb="0" eb="7">
      <t>キコウヘ</t>
    </rPh>
    <phoneticPr fontId="18"/>
  </si>
  <si>
    <t>大気汚染の緩和</t>
    <rPh sb="0" eb="4">
      <t>タイキオセン</t>
    </rPh>
    <rPh sb="5" eb="7">
      <t>カンワ</t>
    </rPh>
    <phoneticPr fontId="18"/>
  </si>
  <si>
    <t>酸素の供給</t>
    <rPh sb="0" eb="2">
      <t>サンソ</t>
    </rPh>
    <rPh sb="3" eb="5">
      <t>キョウキュウ</t>
    </rPh>
    <phoneticPr fontId="18"/>
  </si>
  <si>
    <r>
      <t>CO</t>
    </r>
    <r>
      <rPr>
        <vertAlign val="subscript"/>
        <sz val="14"/>
        <color theme="1"/>
        <rFont val="ＭＳ Ｐゴシック"/>
        <family val="3"/>
        <charset val="128"/>
        <scheme val="minor"/>
      </rPr>
      <t>2</t>
    </r>
    <r>
      <rPr>
        <sz val="14"/>
        <color theme="1"/>
        <rFont val="ＭＳ Ｐゴシック"/>
        <family val="3"/>
        <charset val="128"/>
        <scheme val="minor"/>
      </rPr>
      <t>固定量</t>
    </r>
    <rPh sb="3" eb="5">
      <t>コテイ</t>
    </rPh>
    <phoneticPr fontId="18"/>
  </si>
  <si>
    <r>
      <rPr>
        <sz val="11"/>
        <rFont val="ＭＳ Ｐゴシック"/>
        <family val="3"/>
        <charset val="128"/>
        <scheme val="minor"/>
      </rPr>
      <t>（参考）中井太郎．代表的な森林群落高はどう決めればよいか?　</t>
    </r>
    <r>
      <rPr>
        <u/>
        <sz val="11"/>
        <color theme="10"/>
        <rFont val="ＭＳ Ｐゴシック"/>
        <family val="3"/>
        <charset val="128"/>
        <scheme val="minor"/>
      </rPr>
      <t>https://sites.google.com/site/taronakai/research_topic/forest_canopy_height</t>
    </r>
    <rPh sb="1" eb="3">
      <t>サンコウ</t>
    </rPh>
    <rPh sb="4" eb="8">
      <t>ナカイ</t>
    </rPh>
    <phoneticPr fontId="18"/>
  </si>
  <si>
    <t>※林冠の高さ：樹林の最上部分（詳しくは使い方を参照）</t>
    <rPh sb="1" eb="3">
      <t>リンカン</t>
    </rPh>
    <rPh sb="4" eb="5">
      <t>タカ</t>
    </rPh>
    <rPh sb="7" eb="9">
      <t>ジュリン</t>
    </rPh>
    <rPh sb="10" eb="14">
      <t>サイジョウブブン</t>
    </rPh>
    <rPh sb="15" eb="16">
      <t>クワ</t>
    </rPh>
    <rPh sb="19" eb="20">
      <t>ツカ</t>
    </rPh>
    <rPh sb="21" eb="22">
      <t>カタ</t>
    </rPh>
    <rPh sb="23" eb="25">
      <t>サンショウ</t>
    </rPh>
    <phoneticPr fontId="18"/>
  </si>
  <si>
    <r>
      <rPr>
        <sz val="11"/>
        <color theme="1"/>
        <rFont val="ＭＳ 明朝"/>
        <family val="1"/>
        <charset val="128"/>
      </rPr>
      <t>項目</t>
    </r>
    <rPh sb="0" eb="2">
      <t>コウモク</t>
    </rPh>
    <phoneticPr fontId="18"/>
  </si>
  <si>
    <r>
      <rPr>
        <sz val="11"/>
        <color theme="1"/>
        <rFont val="ＭＳ 明朝"/>
        <family val="1"/>
        <charset val="128"/>
      </rPr>
      <t>詳細</t>
    </r>
    <rPh sb="0" eb="2">
      <t>ショウサイ</t>
    </rPh>
    <phoneticPr fontId="18"/>
  </si>
  <si>
    <r>
      <rPr>
        <sz val="11"/>
        <color theme="1"/>
        <rFont val="ＭＳ 明朝"/>
        <family val="1"/>
        <charset val="128"/>
      </rPr>
      <t>基本コンセプト</t>
    </r>
    <rPh sb="0" eb="2">
      <t>キホン</t>
    </rPh>
    <phoneticPr fontId="18"/>
  </si>
  <si>
    <r>
      <rPr>
        <sz val="11"/>
        <color theme="1"/>
        <rFont val="ＭＳ 明朝"/>
        <family val="1"/>
        <charset val="128"/>
      </rPr>
      <t>このツールは工場のような企業所有地など限られたスペースで行われた植林活動を、現地調査などの追加調査無しに、基本的な情報だけで簡易的に評価することを目的に作成されました。</t>
    </r>
    <rPh sb="6" eb="8">
      <t>コウジョウ</t>
    </rPh>
    <rPh sb="12" eb="14">
      <t>キギョウ</t>
    </rPh>
    <rPh sb="14" eb="17">
      <t>ショユウチ</t>
    </rPh>
    <rPh sb="19" eb="20">
      <t>カギ</t>
    </rPh>
    <rPh sb="28" eb="29">
      <t>オコナ</t>
    </rPh>
    <rPh sb="32" eb="34">
      <t>ショクリン</t>
    </rPh>
    <rPh sb="34" eb="36">
      <t>カツドウ</t>
    </rPh>
    <rPh sb="38" eb="42">
      <t>ゲンチチョウサ</t>
    </rPh>
    <rPh sb="45" eb="47">
      <t>ツイカ</t>
    </rPh>
    <rPh sb="47" eb="49">
      <t>チョウサ</t>
    </rPh>
    <rPh sb="49" eb="50">
      <t>ナ</t>
    </rPh>
    <rPh sb="53" eb="56">
      <t>キホンテキ</t>
    </rPh>
    <rPh sb="57" eb="59">
      <t>ジョウホウ</t>
    </rPh>
    <rPh sb="62" eb="65">
      <t>カンイテキ</t>
    </rPh>
    <rPh sb="66" eb="68">
      <t>ヒョウカ</t>
    </rPh>
    <rPh sb="73" eb="75">
      <t>モクテキ</t>
    </rPh>
    <rPh sb="76" eb="78">
      <t>サクセイ</t>
    </rPh>
    <phoneticPr fontId="18"/>
  </si>
  <si>
    <r>
      <rPr>
        <sz val="11"/>
        <color theme="1"/>
        <rFont val="ＭＳ 明朝"/>
        <family val="1"/>
        <charset val="128"/>
      </rPr>
      <t>植林面積や経過年数、地域など、基本的な情報から簡易的に評価することを目的としています。</t>
    </r>
    <rPh sb="0" eb="2">
      <t>ショクリン</t>
    </rPh>
    <rPh sb="2" eb="4">
      <t>メンセキ</t>
    </rPh>
    <rPh sb="5" eb="9">
      <t>ケイカネンスウ</t>
    </rPh>
    <rPh sb="10" eb="12">
      <t>チイキ</t>
    </rPh>
    <rPh sb="15" eb="18">
      <t>キホンテキ</t>
    </rPh>
    <rPh sb="19" eb="21">
      <t>ジョウホウ</t>
    </rPh>
    <rPh sb="23" eb="26">
      <t>カンイテキ</t>
    </rPh>
    <rPh sb="27" eb="29">
      <t>ヒョウカ</t>
    </rPh>
    <rPh sb="34" eb="36">
      <t>モクテキ</t>
    </rPh>
    <phoneticPr fontId="18"/>
  </si>
  <si>
    <r>
      <rPr>
        <sz val="11"/>
        <color theme="1"/>
        <rFont val="ＭＳ 明朝"/>
        <family val="1"/>
        <charset val="128"/>
      </rPr>
      <t>生態系サービスの経済価値への換算は、代替費用法を用いています。すなわち、樹林が果たしている機能を、機械やサービスとして人為的に行った場合に必要な費用に置き換えることで経済価値に換算しています。各評価項目をそれぞれ何と置き換えているかについては以降に記載しています。</t>
    </r>
    <rPh sb="0" eb="3">
      <t>セイタイケイ</t>
    </rPh>
    <rPh sb="8" eb="12">
      <t>ケイザイカチ</t>
    </rPh>
    <rPh sb="14" eb="16">
      <t>カンサン</t>
    </rPh>
    <rPh sb="18" eb="20">
      <t>ダイタイ</t>
    </rPh>
    <rPh sb="20" eb="22">
      <t>ヒヨウ</t>
    </rPh>
    <rPh sb="22" eb="23">
      <t>ホウ</t>
    </rPh>
    <rPh sb="24" eb="25">
      <t>モチ</t>
    </rPh>
    <rPh sb="36" eb="38">
      <t>ジュリン</t>
    </rPh>
    <rPh sb="39" eb="40">
      <t>ハ</t>
    </rPh>
    <rPh sb="45" eb="47">
      <t>キノウ</t>
    </rPh>
    <rPh sb="49" eb="51">
      <t>キカイ</t>
    </rPh>
    <rPh sb="59" eb="62">
      <t>ジンイテキ</t>
    </rPh>
    <rPh sb="63" eb="64">
      <t>オコナ</t>
    </rPh>
    <rPh sb="66" eb="68">
      <t>バアイ</t>
    </rPh>
    <rPh sb="69" eb="71">
      <t>ヒツヨウ</t>
    </rPh>
    <rPh sb="72" eb="74">
      <t>ヒヨウ</t>
    </rPh>
    <rPh sb="75" eb="76">
      <t>オ</t>
    </rPh>
    <rPh sb="77" eb="78">
      <t>カ</t>
    </rPh>
    <rPh sb="83" eb="87">
      <t>ケイザイカチ</t>
    </rPh>
    <rPh sb="88" eb="90">
      <t>カンサン</t>
    </rPh>
    <phoneticPr fontId="18"/>
  </si>
  <si>
    <r>
      <rPr>
        <sz val="11"/>
        <color theme="1"/>
        <rFont val="ＭＳ 明朝"/>
        <family val="1"/>
        <charset val="128"/>
      </rPr>
      <t>評価の範囲</t>
    </r>
    <rPh sb="0" eb="2">
      <t>ヒョウカ</t>
    </rPh>
    <rPh sb="3" eb="5">
      <t>ハンイ</t>
    </rPh>
    <phoneticPr fontId="18"/>
  </si>
  <si>
    <r>
      <rPr>
        <sz val="11"/>
        <color theme="1"/>
        <rFont val="ＭＳ 明朝"/>
        <family val="1"/>
        <charset val="128"/>
      </rPr>
      <t>生育状況により調整できるようになっていますが、あくまでも経過年数と樹種、面積から簡易的に評価するツールです。場所ごとの環境条件や管理方法は加味されていないので、より正確に把握するには現地調査が必要です。</t>
    </r>
    <rPh sb="0" eb="4">
      <t>セイイク</t>
    </rPh>
    <rPh sb="7" eb="9">
      <t>チョウセイ</t>
    </rPh>
    <rPh sb="28" eb="32">
      <t>ケイカネンスウ</t>
    </rPh>
    <rPh sb="33" eb="35">
      <t>ジュシュ</t>
    </rPh>
    <rPh sb="36" eb="38">
      <t>メンセキ</t>
    </rPh>
    <rPh sb="40" eb="42">
      <t>カンイ</t>
    </rPh>
    <rPh sb="42" eb="43">
      <t>テキ</t>
    </rPh>
    <rPh sb="44" eb="46">
      <t>ヒョウカ</t>
    </rPh>
    <rPh sb="54" eb="56">
      <t>バショ</t>
    </rPh>
    <rPh sb="59" eb="63">
      <t>カンキョウジョウケン</t>
    </rPh>
    <rPh sb="64" eb="68">
      <t>カンリホウホウ</t>
    </rPh>
    <rPh sb="69" eb="71">
      <t>カミ</t>
    </rPh>
    <rPh sb="82" eb="84">
      <t>セイカク</t>
    </rPh>
    <rPh sb="85" eb="87">
      <t>ハアク</t>
    </rPh>
    <rPh sb="91" eb="95">
      <t>ゲンチチョウサ</t>
    </rPh>
    <rPh sb="96" eb="98">
      <t>ヒツヨウ</t>
    </rPh>
    <phoneticPr fontId="18"/>
  </si>
  <si>
    <r>
      <rPr>
        <sz val="11"/>
        <color theme="1"/>
        <rFont val="ＭＳ 明朝"/>
        <family val="1"/>
        <charset val="128"/>
      </rPr>
      <t>高木を対象にしたツールです。アジサイなどの低木のみを植えた場所には使用できません。</t>
    </r>
    <rPh sb="0" eb="2">
      <t>コウボク</t>
    </rPh>
    <rPh sb="3" eb="5">
      <t>タイショウ</t>
    </rPh>
    <rPh sb="21" eb="23">
      <t>テイボク</t>
    </rPh>
    <rPh sb="26" eb="27">
      <t>ウ</t>
    </rPh>
    <rPh sb="29" eb="31">
      <t>バショ</t>
    </rPh>
    <rPh sb="33" eb="35">
      <t>シヨウ</t>
    </rPh>
    <phoneticPr fontId="18"/>
  </si>
  <si>
    <r>
      <rPr>
        <sz val="11"/>
        <color theme="1"/>
        <rFont val="ＭＳ 明朝"/>
        <family val="1"/>
        <charset val="128"/>
      </rPr>
      <t>このツールで評価できるのは、植林により生み出された生態系サービスの一部のみです。下記はこのツールで評価されないものの例です。
・遮光による気象緩和
・土壌形成・流出防止
・生物の生息地としての価値
・文化的な価値
・経済評価が難しいもの
・評価に必要なデータが入手困難なもの（現地調査が必要なもの、データが公開されていないものなど）</t>
    </r>
    <rPh sb="6" eb="8">
      <t>ヒョウカ</t>
    </rPh>
    <rPh sb="14" eb="16">
      <t>ショクリン</t>
    </rPh>
    <rPh sb="19" eb="20">
      <t>ウ</t>
    </rPh>
    <rPh sb="21" eb="22">
      <t>ダ</t>
    </rPh>
    <rPh sb="25" eb="28">
      <t>セイタイケイ</t>
    </rPh>
    <rPh sb="33" eb="35">
      <t>イチブ</t>
    </rPh>
    <rPh sb="40" eb="42">
      <t>カキ</t>
    </rPh>
    <rPh sb="49" eb="51">
      <t>ヒョウカ</t>
    </rPh>
    <rPh sb="58" eb="59">
      <t>レイ</t>
    </rPh>
    <phoneticPr fontId="18"/>
  </si>
  <si>
    <r>
      <rPr>
        <sz val="11"/>
        <color theme="1"/>
        <rFont val="ＭＳ 明朝"/>
        <family val="1"/>
        <charset val="128"/>
      </rPr>
      <t>そのため、このツールでの評価結果のみで植林による効果を全て把握できるわけではありません。</t>
    </r>
    <rPh sb="12" eb="16">
      <t>ヒョウカケッカ</t>
    </rPh>
    <rPh sb="19" eb="21">
      <t>ショクリン</t>
    </rPh>
    <rPh sb="24" eb="26">
      <t>コウカ</t>
    </rPh>
    <rPh sb="27" eb="28">
      <t>スベ</t>
    </rPh>
    <rPh sb="29" eb="31">
      <t>ハアク</t>
    </rPh>
    <phoneticPr fontId="18"/>
  </si>
  <si>
    <r>
      <rPr>
        <sz val="11"/>
        <color theme="1"/>
        <rFont val="ＭＳ 明朝"/>
        <family val="1"/>
        <charset val="128"/>
      </rPr>
      <t>実際の森林の価値は、非経済的な価値を含め、本ツールによる評価結果よりも大きくなります。</t>
    </r>
    <rPh sb="0" eb="2">
      <t>ジッサイ</t>
    </rPh>
    <rPh sb="3" eb="5">
      <t>シンリン</t>
    </rPh>
    <rPh sb="6" eb="8">
      <t>カチ</t>
    </rPh>
    <rPh sb="10" eb="14">
      <t>ヒケイザイテキ</t>
    </rPh>
    <rPh sb="15" eb="17">
      <t>カチ</t>
    </rPh>
    <rPh sb="18" eb="19">
      <t>フク</t>
    </rPh>
    <rPh sb="21" eb="22">
      <t>ホン</t>
    </rPh>
    <rPh sb="28" eb="32">
      <t>ヒョウカケッカ</t>
    </rPh>
    <rPh sb="35" eb="36">
      <t>オオ</t>
    </rPh>
    <phoneticPr fontId="18"/>
  </si>
  <si>
    <r>
      <rPr>
        <sz val="11"/>
        <color theme="1"/>
        <rFont val="ＭＳ 明朝"/>
        <family val="1"/>
        <charset val="128"/>
      </rPr>
      <t>評価方法</t>
    </r>
    <rPh sb="0" eb="4">
      <t>ヒョウカホウホウ</t>
    </rPh>
    <phoneticPr fontId="18"/>
  </si>
  <si>
    <r>
      <rPr>
        <sz val="11"/>
        <rFont val="ＭＳ 明朝"/>
        <family val="1"/>
        <charset val="128"/>
      </rPr>
      <t>国内の炭素取引価格</t>
    </r>
    <rPh sb="0" eb="2">
      <t>コクナイ</t>
    </rPh>
    <rPh sb="3" eb="9">
      <t>タンソ</t>
    </rPh>
    <phoneticPr fontId="18"/>
  </si>
  <si>
    <r>
      <rPr>
        <sz val="11"/>
        <color theme="1"/>
        <rFont val="ＭＳ 明朝"/>
        <family val="1"/>
        <charset val="128"/>
      </rPr>
      <t>大気汚染物質吸収・酸素生成の評価</t>
    </r>
    <rPh sb="0" eb="6">
      <t>タイキオセンブッシツ</t>
    </rPh>
    <rPh sb="6" eb="8">
      <t>キュウシュウ</t>
    </rPh>
    <rPh sb="9" eb="11">
      <t>サンソ</t>
    </rPh>
    <rPh sb="11" eb="13">
      <t>セイセイ</t>
    </rPh>
    <rPh sb="14" eb="16">
      <t>ヒョウカ</t>
    </rPh>
    <phoneticPr fontId="18"/>
  </si>
  <si>
    <r>
      <rPr>
        <sz val="11"/>
        <color theme="1"/>
        <rFont val="ＭＳ 明朝"/>
        <family val="1"/>
        <charset val="128"/>
      </rPr>
      <t>大気汚染物質吸収の経済価値</t>
    </r>
    <rPh sb="9" eb="13">
      <t>ケイザイカチ</t>
    </rPh>
    <phoneticPr fontId="18"/>
  </si>
  <si>
    <r>
      <rPr>
        <sz val="11"/>
        <color theme="1"/>
        <rFont val="ＭＳ 明朝"/>
        <family val="1"/>
        <charset val="128"/>
      </rPr>
      <t>酸素生成の経済価値</t>
    </r>
    <rPh sb="0" eb="2">
      <t>サンソ</t>
    </rPh>
    <rPh sb="2" eb="4">
      <t>セイセイ</t>
    </rPh>
    <rPh sb="5" eb="9">
      <t>ケイザイカチ</t>
    </rPh>
    <phoneticPr fontId="18"/>
  </si>
  <si>
    <r>
      <rPr>
        <sz val="11"/>
        <color theme="1"/>
        <rFont val="ＭＳ 明朝"/>
        <family val="1"/>
        <charset val="128"/>
      </rPr>
      <t>貯水の評価</t>
    </r>
    <rPh sb="0" eb="2">
      <t>チョスイ</t>
    </rPh>
    <rPh sb="3" eb="5">
      <t>ヒョウカ</t>
    </rPh>
    <phoneticPr fontId="18"/>
  </si>
  <si>
    <r>
      <rPr>
        <sz val="11"/>
        <color theme="1"/>
        <rFont val="ＭＳ 明朝"/>
        <family val="1"/>
        <charset val="128"/>
      </rPr>
      <t>樹木そのものに含まれる水分量を評価します。</t>
    </r>
    <rPh sb="0" eb="2">
      <t>ジュモク</t>
    </rPh>
    <rPh sb="7" eb="8">
      <t>フク</t>
    </rPh>
    <rPh sb="11" eb="14">
      <t>スイブンリョウ</t>
    </rPh>
    <rPh sb="15" eb="17">
      <t>ヒョウカ</t>
    </rPh>
    <phoneticPr fontId="18"/>
  </si>
  <si>
    <r>
      <rPr>
        <sz val="11"/>
        <color theme="1"/>
        <rFont val="ＭＳ 明朝"/>
        <family val="1"/>
        <charset val="128"/>
      </rPr>
      <t>貯水の経済評価</t>
    </r>
    <rPh sb="0" eb="2">
      <t>チョスイ</t>
    </rPh>
    <rPh sb="3" eb="5">
      <t>ケイザイ</t>
    </rPh>
    <rPh sb="5" eb="7">
      <t>ヒョウカ</t>
    </rPh>
    <phoneticPr fontId="18"/>
  </si>
  <si>
    <r>
      <rPr>
        <sz val="11"/>
        <color theme="1"/>
        <rFont val="ＭＳ 明朝"/>
        <family val="1"/>
        <charset val="128"/>
      </rPr>
      <t>同量の水に必要な上水料金（都道府県別）</t>
    </r>
    <rPh sb="13" eb="18">
      <t>トドウフケンベツ</t>
    </rPh>
    <phoneticPr fontId="18"/>
  </si>
  <si>
    <r>
      <rPr>
        <sz val="11"/>
        <color theme="1"/>
        <rFont val="ＭＳ 明朝"/>
        <family val="1"/>
        <charset val="128"/>
      </rPr>
      <t>蒸散の評価</t>
    </r>
    <rPh sb="0" eb="2">
      <t>ジョウサン</t>
    </rPh>
    <rPh sb="3" eb="5">
      <t>ヒョウカ</t>
    </rPh>
    <phoneticPr fontId="18"/>
  </si>
  <si>
    <r>
      <rPr>
        <sz val="11"/>
        <color theme="1"/>
        <rFont val="ＭＳ 明朝"/>
        <family val="1"/>
        <charset val="128"/>
      </rPr>
      <t>樹木の蒸散で放出される水分と同等量をドライミスト装置により噴霧した場合の費用（電気料金、水道料金）で評価</t>
    </r>
    <rPh sb="0" eb="2">
      <t>ジュモク</t>
    </rPh>
    <rPh sb="3" eb="5">
      <t>ジョウサン</t>
    </rPh>
    <rPh sb="6" eb="8">
      <t>ホウシュツ</t>
    </rPh>
    <rPh sb="11" eb="13">
      <t>スイブン</t>
    </rPh>
    <rPh sb="14" eb="16">
      <t>ドウトウ</t>
    </rPh>
    <rPh sb="16" eb="17">
      <t>リョウ</t>
    </rPh>
    <rPh sb="24" eb="26">
      <t>ソウチ</t>
    </rPh>
    <rPh sb="29" eb="31">
      <t>フンム</t>
    </rPh>
    <rPh sb="33" eb="35">
      <t>バアイ</t>
    </rPh>
    <rPh sb="36" eb="38">
      <t>ヒヨウ</t>
    </rPh>
    <rPh sb="39" eb="41">
      <t>デンキ</t>
    </rPh>
    <rPh sb="41" eb="43">
      <t>リョウキン</t>
    </rPh>
    <rPh sb="44" eb="46">
      <t>スイドウ</t>
    </rPh>
    <rPh sb="46" eb="48">
      <t>リョウキン</t>
    </rPh>
    <rPh sb="50" eb="52">
      <t>ヒョウカ</t>
    </rPh>
    <phoneticPr fontId="18"/>
  </si>
  <si>
    <r>
      <rPr>
        <sz val="11"/>
        <color theme="1"/>
        <rFont val="ＭＳ 明朝"/>
        <family val="1"/>
        <charset val="128"/>
      </rPr>
      <t>蒸散の経済評価</t>
    </r>
    <rPh sb="0" eb="2">
      <t>ジョウサン</t>
    </rPh>
    <rPh sb="3" eb="5">
      <t>ケイザイ</t>
    </rPh>
    <rPh sb="5" eb="7">
      <t>ヒョウカ</t>
    </rPh>
    <phoneticPr fontId="18"/>
  </si>
  <si>
    <r>
      <rPr>
        <sz val="11"/>
        <color theme="1"/>
        <rFont val="ＭＳ 明朝"/>
        <family val="1"/>
        <charset val="128"/>
      </rPr>
      <t>産業用電力料金の全国平均値を使用。水道料金は、蒸散では衛生的観点から上水が使われるため、上水の水道料金を使用（全国平均値）</t>
    </r>
    <rPh sb="0" eb="3">
      <t>サンギョウヨウ</t>
    </rPh>
    <rPh sb="3" eb="7">
      <t>デンリョクリョウキン</t>
    </rPh>
    <rPh sb="8" eb="10">
      <t>ゼンコク</t>
    </rPh>
    <rPh sb="10" eb="13">
      <t>ヘイキンチ</t>
    </rPh>
    <rPh sb="14" eb="16">
      <t>シヨウ</t>
    </rPh>
    <rPh sb="17" eb="21">
      <t>スイドウリョウキン</t>
    </rPh>
    <rPh sb="23" eb="25">
      <t>ジョウサン</t>
    </rPh>
    <rPh sb="27" eb="30">
      <t>エイセイテキ</t>
    </rPh>
    <rPh sb="30" eb="32">
      <t>カンテン</t>
    </rPh>
    <rPh sb="34" eb="36">
      <t>ジョウスイ</t>
    </rPh>
    <rPh sb="37" eb="38">
      <t>ツカ</t>
    </rPh>
    <rPh sb="44" eb="46">
      <t>ジョウスイ</t>
    </rPh>
    <rPh sb="47" eb="51">
      <t>スイドウリョウキン</t>
    </rPh>
    <rPh sb="52" eb="54">
      <t>シヨウ</t>
    </rPh>
    <rPh sb="55" eb="57">
      <t>ゼンコク</t>
    </rPh>
    <rPh sb="57" eb="60">
      <t>ヘイキンチ</t>
    </rPh>
    <phoneticPr fontId="18"/>
  </si>
  <si>
    <r>
      <rPr>
        <sz val="11"/>
        <color theme="1"/>
        <rFont val="ＭＳ 明朝"/>
        <family val="1"/>
        <charset val="128"/>
      </rPr>
      <t>著作権</t>
    </r>
    <rPh sb="0" eb="3">
      <t>チョサクケン</t>
    </rPh>
    <phoneticPr fontId="18"/>
  </si>
  <si>
    <r>
      <rPr>
        <sz val="11"/>
        <color rgb="FF000000"/>
        <rFont val="ＭＳ 明朝"/>
        <family val="1"/>
        <charset val="128"/>
      </rPr>
      <t>このツールの著作権は一般社団法人バードライフ・インターナショナル東京（以下バードライフ）が保有します。無許可の転載･販売･再配布を禁じます。</t>
    </r>
    <rPh sb="10" eb="16">
      <t>イッパンシャダンホウジン</t>
    </rPh>
    <rPh sb="32" eb="34">
      <t>トウキョウ</t>
    </rPh>
    <rPh sb="35" eb="37">
      <t>イカ</t>
    </rPh>
    <phoneticPr fontId="18"/>
  </si>
  <si>
    <r>
      <rPr>
        <sz val="11"/>
        <color theme="1"/>
        <rFont val="ＭＳ 明朝"/>
        <family val="1"/>
        <charset val="128"/>
      </rPr>
      <t>免責事項</t>
    </r>
    <rPh sb="0" eb="4">
      <t>メンセキジコウ</t>
    </rPh>
    <phoneticPr fontId="18"/>
  </si>
  <si>
    <r>
      <rPr>
        <sz val="11"/>
        <color rgb="FF000000"/>
        <rFont val="ＭＳ 明朝"/>
        <family val="1"/>
        <charset val="128"/>
      </rPr>
      <t>このツールの利用によって生じたいかなる損害に対してバードライフは一切の責任を負わないものとします。</t>
    </r>
    <rPh sb="12" eb="13">
      <t>ショウ</t>
    </rPh>
    <rPh sb="22" eb="23">
      <t>タイ</t>
    </rPh>
    <rPh sb="32" eb="34">
      <t>イッサイ</t>
    </rPh>
    <phoneticPr fontId="18"/>
  </si>
  <si>
    <r>
      <rPr>
        <sz val="11"/>
        <color rgb="FF000000"/>
        <rFont val="ＭＳ 明朝"/>
        <family val="1"/>
        <charset val="128"/>
      </rPr>
      <t>このツールに不具合があった場合や、修正の要望などがあった場合でも、バードライフはその義務を負わないものとします。</t>
    </r>
    <phoneticPr fontId="18"/>
  </si>
  <si>
    <r>
      <rPr>
        <sz val="11"/>
        <color theme="1"/>
        <rFont val="ＭＳ 明朝"/>
        <family val="1"/>
        <charset val="128"/>
      </rPr>
      <t>このツールは、「森林」の生態系サービスを評価するツールです。ここで言う「森林」とは、高木が複数植えられており、最低樹冠被覆率が</t>
    </r>
    <r>
      <rPr>
        <sz val="11"/>
        <color theme="1"/>
        <rFont val="Century"/>
        <family val="1"/>
      </rPr>
      <t>30%</t>
    </r>
    <r>
      <rPr>
        <sz val="11"/>
        <color theme="1"/>
        <rFont val="ＭＳ 明朝"/>
        <family val="1"/>
        <charset val="128"/>
      </rPr>
      <t>以上のものを指します。ビオトープ等でも樹木が複数植えられていますが、まばらに植えられている場合は最低樹冠被覆率</t>
    </r>
    <r>
      <rPr>
        <sz val="11"/>
        <color theme="1"/>
        <rFont val="Century"/>
        <family val="1"/>
      </rPr>
      <t>30%</t>
    </r>
    <r>
      <rPr>
        <sz val="11"/>
        <color theme="1"/>
        <rFont val="ＭＳ 明朝"/>
        <family val="1"/>
        <charset val="128"/>
      </rPr>
      <t>以上の条件を満たさないため、本ツールでは評価できないことになります。</t>
    </r>
    <rPh sb="8" eb="10">
      <t>シンリン</t>
    </rPh>
    <rPh sb="12" eb="19">
      <t>セイタイケイ</t>
    </rPh>
    <rPh sb="20" eb="22">
      <t>ヒョウカ</t>
    </rPh>
    <rPh sb="33" eb="34">
      <t>イ</t>
    </rPh>
    <rPh sb="36" eb="38">
      <t>シンリン</t>
    </rPh>
    <rPh sb="42" eb="44">
      <t>コウボク</t>
    </rPh>
    <rPh sb="45" eb="47">
      <t>フクスウ</t>
    </rPh>
    <rPh sb="47" eb="48">
      <t>ウ</t>
    </rPh>
    <rPh sb="55" eb="57">
      <t>サイテイ</t>
    </rPh>
    <rPh sb="57" eb="59">
      <t>ジュカン</t>
    </rPh>
    <rPh sb="59" eb="62">
      <t>ヒフクリツ</t>
    </rPh>
    <rPh sb="66" eb="68">
      <t>イジョウ</t>
    </rPh>
    <rPh sb="72" eb="73">
      <t>サ</t>
    </rPh>
    <rPh sb="82" eb="83">
      <t>ナド</t>
    </rPh>
    <rPh sb="85" eb="87">
      <t>ジュモク</t>
    </rPh>
    <rPh sb="88" eb="90">
      <t>フクスウ</t>
    </rPh>
    <rPh sb="90" eb="91">
      <t>ウ</t>
    </rPh>
    <rPh sb="104" eb="105">
      <t>ウ</t>
    </rPh>
    <rPh sb="111" eb="113">
      <t>バアイ</t>
    </rPh>
    <rPh sb="114" eb="121">
      <t>サイテイ</t>
    </rPh>
    <rPh sb="124" eb="126">
      <t>イジョウ</t>
    </rPh>
    <rPh sb="127" eb="129">
      <t>ジョウケン</t>
    </rPh>
    <rPh sb="130" eb="131">
      <t>ミ</t>
    </rPh>
    <rPh sb="138" eb="139">
      <t>ホン</t>
    </rPh>
    <rPh sb="144" eb="146">
      <t>ヒョウカ</t>
    </rPh>
    <phoneticPr fontId="18"/>
  </si>
  <si>
    <r>
      <t>CO</t>
    </r>
    <r>
      <rPr>
        <vertAlign val="subscript"/>
        <sz val="11"/>
        <color theme="1"/>
        <rFont val="Century"/>
        <family val="1"/>
      </rPr>
      <t>2</t>
    </r>
    <r>
      <rPr>
        <sz val="11"/>
        <color theme="1"/>
        <rFont val="ＭＳ 明朝"/>
        <family val="1"/>
        <charset val="128"/>
      </rPr>
      <t>固定の評価</t>
    </r>
    <rPh sb="3" eb="5">
      <t>コテイ</t>
    </rPh>
    <rPh sb="6" eb="8">
      <t>ヒョウカ</t>
    </rPh>
    <phoneticPr fontId="18"/>
  </si>
  <si>
    <r>
      <t>IPCC</t>
    </r>
    <r>
      <rPr>
        <sz val="11"/>
        <color theme="1"/>
        <rFont val="ＭＳ 明朝"/>
        <family val="1"/>
        <charset val="128"/>
      </rPr>
      <t>でも採用している蓄積変化法により計算します。すなわち、ある時点から次の時点までの樹木のバイオマスの変化量から</t>
    </r>
    <r>
      <rPr>
        <sz val="11"/>
        <color theme="1"/>
        <rFont val="Century"/>
        <family val="1"/>
      </rPr>
      <t>CO</t>
    </r>
    <r>
      <rPr>
        <vertAlign val="subscript"/>
        <sz val="11"/>
        <color theme="1"/>
        <rFont val="Century"/>
        <family val="1"/>
      </rPr>
      <t>2</t>
    </r>
    <r>
      <rPr>
        <sz val="11"/>
        <color theme="1"/>
        <rFont val="ＭＳ 明朝"/>
        <family val="1"/>
        <charset val="128"/>
      </rPr>
      <t>固定量を推定します。</t>
    </r>
    <rPh sb="6" eb="8">
      <t>サイヨウ</t>
    </rPh>
    <rPh sb="12" eb="14">
      <t>チクセキ</t>
    </rPh>
    <rPh sb="14" eb="16">
      <t>ヘンカ</t>
    </rPh>
    <rPh sb="16" eb="17">
      <t>ホウ</t>
    </rPh>
    <rPh sb="20" eb="22">
      <t>ケイサン</t>
    </rPh>
    <rPh sb="33" eb="35">
      <t>ジテン</t>
    </rPh>
    <rPh sb="37" eb="38">
      <t>ツギ</t>
    </rPh>
    <rPh sb="39" eb="41">
      <t>ジテン</t>
    </rPh>
    <rPh sb="44" eb="46">
      <t>ジュモク</t>
    </rPh>
    <rPh sb="53" eb="56">
      <t>ヘンカリョウ</t>
    </rPh>
    <rPh sb="61" eb="63">
      <t>コテイ</t>
    </rPh>
    <rPh sb="63" eb="64">
      <t>リョウ</t>
    </rPh>
    <rPh sb="65" eb="67">
      <t>スイテイ</t>
    </rPh>
    <phoneticPr fontId="18"/>
  </si>
  <si>
    <r>
      <t>CO</t>
    </r>
    <r>
      <rPr>
        <vertAlign val="subscript"/>
        <sz val="11"/>
        <color theme="1"/>
        <rFont val="Century"/>
        <family val="1"/>
      </rPr>
      <t>2</t>
    </r>
    <r>
      <rPr>
        <sz val="11"/>
        <color theme="1"/>
        <rFont val="ＭＳ 明朝"/>
        <family val="1"/>
        <charset val="128"/>
      </rPr>
      <t>固定の経済価値</t>
    </r>
    <rPh sb="3" eb="5">
      <t>コテイ</t>
    </rPh>
    <rPh sb="6" eb="10">
      <t>ケイザイカチ</t>
    </rPh>
    <phoneticPr fontId="18"/>
  </si>
  <si>
    <r>
      <rPr>
        <sz val="11"/>
        <color theme="1"/>
        <rFont val="ＭＳ 明朝"/>
        <family val="1"/>
        <charset val="128"/>
      </rPr>
      <t>植物が光合成を行うことで</t>
    </r>
    <r>
      <rPr>
        <sz val="11"/>
        <color theme="1"/>
        <rFont val="Century"/>
        <family val="1"/>
      </rPr>
      <t>CO</t>
    </r>
    <r>
      <rPr>
        <vertAlign val="subscript"/>
        <sz val="11"/>
        <color theme="1"/>
        <rFont val="Century"/>
        <family val="1"/>
      </rPr>
      <t>2</t>
    </r>
    <r>
      <rPr>
        <sz val="11"/>
        <color theme="1"/>
        <rFont val="ＭＳ 明朝"/>
        <family val="1"/>
        <charset val="128"/>
      </rPr>
      <t>を吸収する際、一定の割合で</t>
    </r>
    <r>
      <rPr>
        <sz val="11"/>
        <color theme="1"/>
        <rFont val="Century"/>
        <family val="1"/>
      </rPr>
      <t>NO</t>
    </r>
    <r>
      <rPr>
        <vertAlign val="subscript"/>
        <sz val="11"/>
        <color theme="1"/>
        <rFont val="Century"/>
        <family val="1"/>
      </rPr>
      <t>2</t>
    </r>
    <r>
      <rPr>
        <sz val="11"/>
        <color theme="1"/>
        <rFont val="ＭＳ 明朝"/>
        <family val="1"/>
        <charset val="128"/>
      </rPr>
      <t>や</t>
    </r>
    <r>
      <rPr>
        <sz val="11"/>
        <color theme="1"/>
        <rFont val="Century"/>
        <family val="1"/>
      </rPr>
      <t>SO</t>
    </r>
    <r>
      <rPr>
        <vertAlign val="subscript"/>
        <sz val="11"/>
        <color theme="1"/>
        <rFont val="Century"/>
        <family val="1"/>
      </rPr>
      <t>2</t>
    </r>
    <r>
      <rPr>
        <sz val="11"/>
        <color theme="1"/>
        <rFont val="ＭＳ 明朝"/>
        <family val="1"/>
        <charset val="128"/>
      </rPr>
      <t>、</t>
    </r>
    <r>
      <rPr>
        <sz val="11"/>
        <color theme="1"/>
        <rFont val="Century"/>
        <family val="1"/>
      </rPr>
      <t>O</t>
    </r>
    <r>
      <rPr>
        <vertAlign val="subscript"/>
        <sz val="11"/>
        <color theme="1"/>
        <rFont val="Century"/>
        <family val="1"/>
      </rPr>
      <t>3</t>
    </r>
    <r>
      <rPr>
        <sz val="11"/>
        <color theme="1"/>
        <rFont val="ＭＳ 明朝"/>
        <family val="1"/>
        <charset val="128"/>
      </rPr>
      <t>を吸収し、</t>
    </r>
    <r>
      <rPr>
        <sz val="11"/>
        <color theme="1"/>
        <rFont val="Century"/>
        <family val="1"/>
      </rPr>
      <t>O</t>
    </r>
    <r>
      <rPr>
        <vertAlign val="subscript"/>
        <sz val="11"/>
        <color theme="1"/>
        <rFont val="Century"/>
        <family val="1"/>
      </rPr>
      <t>2</t>
    </r>
    <r>
      <rPr>
        <sz val="11"/>
        <color theme="1"/>
        <rFont val="ＭＳ 明朝"/>
        <family val="1"/>
        <charset val="128"/>
      </rPr>
      <t>を放出することが分かっています。</t>
    </r>
    <r>
      <rPr>
        <sz val="11"/>
        <color theme="1"/>
        <rFont val="Century"/>
        <family val="1"/>
      </rPr>
      <t>CO</t>
    </r>
    <r>
      <rPr>
        <vertAlign val="subscript"/>
        <sz val="11"/>
        <color theme="1"/>
        <rFont val="Century"/>
        <family val="1"/>
      </rPr>
      <t>2</t>
    </r>
    <r>
      <rPr>
        <sz val="11"/>
        <color theme="1"/>
        <rFont val="ＭＳ 明朝"/>
        <family val="1"/>
        <charset val="128"/>
      </rPr>
      <t>固定量に各汚染物質の吸収特性や大気中濃度などを加味してそれぞれの吸収量を計算します。</t>
    </r>
    <rPh sb="0" eb="2">
      <t>ショクブツ</t>
    </rPh>
    <rPh sb="3" eb="6">
      <t>コウゴウセイ</t>
    </rPh>
    <rPh sb="7" eb="8">
      <t>オコナ</t>
    </rPh>
    <rPh sb="16" eb="18">
      <t>キュウシュウ</t>
    </rPh>
    <rPh sb="20" eb="21">
      <t>サイ</t>
    </rPh>
    <rPh sb="22" eb="24">
      <t>イッテイ</t>
    </rPh>
    <rPh sb="25" eb="27">
      <t>ワリアイ</t>
    </rPh>
    <rPh sb="39" eb="41">
      <t>キュウシュウ</t>
    </rPh>
    <rPh sb="46" eb="48">
      <t>ホウシュツ</t>
    </rPh>
    <rPh sb="53" eb="54">
      <t>ワ</t>
    </rPh>
    <rPh sb="64" eb="66">
      <t>コテイ</t>
    </rPh>
    <rPh sb="66" eb="67">
      <t>リョウ</t>
    </rPh>
    <rPh sb="68" eb="69">
      <t>カク</t>
    </rPh>
    <rPh sb="69" eb="73">
      <t>オセンブッシツ</t>
    </rPh>
    <rPh sb="74" eb="76">
      <t>キュウシュウ</t>
    </rPh>
    <rPh sb="76" eb="78">
      <t>トクセイ</t>
    </rPh>
    <rPh sb="79" eb="82">
      <t>タイキチュウ</t>
    </rPh>
    <rPh sb="82" eb="84">
      <t>ノウド</t>
    </rPh>
    <rPh sb="87" eb="89">
      <t>カミ</t>
    </rPh>
    <rPh sb="96" eb="99">
      <t>キュウシュウリョウ</t>
    </rPh>
    <rPh sb="100" eb="102">
      <t>ケイサン</t>
    </rPh>
    <phoneticPr fontId="18"/>
  </si>
  <si>
    <r>
      <t>NO2</t>
    </r>
    <r>
      <rPr>
        <sz val="11"/>
        <color theme="1"/>
        <rFont val="ＭＳ 明朝"/>
        <family val="1"/>
        <charset val="128"/>
      </rPr>
      <t>、</t>
    </r>
    <r>
      <rPr>
        <sz val="11"/>
        <color theme="1"/>
        <rFont val="Century"/>
        <family val="1"/>
      </rPr>
      <t>SO2</t>
    </r>
    <r>
      <rPr>
        <sz val="11"/>
        <color theme="1"/>
        <rFont val="ＭＳ 明朝"/>
        <family val="1"/>
        <charset val="128"/>
      </rPr>
      <t>はそれぞれ排煙からの除去装置の減価償却・維持費を使用しています。</t>
    </r>
    <r>
      <rPr>
        <sz val="11"/>
        <color theme="1"/>
        <rFont val="Century"/>
        <family val="1"/>
      </rPr>
      <t>O3</t>
    </r>
    <r>
      <rPr>
        <sz val="11"/>
        <color theme="1"/>
        <rFont val="ＭＳ 明朝"/>
        <family val="1"/>
        <charset val="128"/>
      </rPr>
      <t>（光化学オキシダント）は</t>
    </r>
    <r>
      <rPr>
        <sz val="11"/>
        <color theme="1"/>
        <rFont val="Century"/>
        <family val="1"/>
      </rPr>
      <t>NO2</t>
    </r>
    <r>
      <rPr>
        <sz val="11"/>
        <color theme="1"/>
        <rFont val="ＭＳ 明朝"/>
        <family val="1"/>
        <charset val="128"/>
      </rPr>
      <t>の前駆物質と考えられていることから、</t>
    </r>
    <r>
      <rPr>
        <sz val="11"/>
        <color theme="1"/>
        <rFont val="Century"/>
        <family val="1"/>
      </rPr>
      <t>O3</t>
    </r>
    <r>
      <rPr>
        <sz val="11"/>
        <color theme="1"/>
        <rFont val="ＭＳ 明朝"/>
        <family val="1"/>
        <charset val="128"/>
      </rPr>
      <t>から生成される</t>
    </r>
    <r>
      <rPr>
        <sz val="11"/>
        <color theme="1"/>
        <rFont val="Century"/>
        <family val="1"/>
      </rPr>
      <t>NO2</t>
    </r>
    <r>
      <rPr>
        <sz val="11"/>
        <color theme="1"/>
        <rFont val="ＭＳ 明朝"/>
        <family val="1"/>
        <charset val="128"/>
      </rPr>
      <t>の量に換算し、排煙脱硝装置の減価償却・維持費で評価しています。</t>
    </r>
    <rPh sb="12" eb="14">
      <t>ハイエン</t>
    </rPh>
    <rPh sb="17" eb="19">
      <t>ジョキョ</t>
    </rPh>
    <rPh sb="19" eb="21">
      <t>ソウチ</t>
    </rPh>
    <rPh sb="22" eb="24">
      <t>ゲンカ</t>
    </rPh>
    <rPh sb="24" eb="26">
      <t>ショウキャク</t>
    </rPh>
    <rPh sb="27" eb="30">
      <t>イジヒ</t>
    </rPh>
    <rPh sb="31" eb="33">
      <t>シヨウ</t>
    </rPh>
    <rPh sb="42" eb="45">
      <t>コウカガク</t>
    </rPh>
    <rPh sb="57" eb="61">
      <t>ゼンクブッシツ</t>
    </rPh>
    <rPh sb="62" eb="63">
      <t>カンガ</t>
    </rPh>
    <rPh sb="78" eb="80">
      <t>セイセイ</t>
    </rPh>
    <rPh sb="87" eb="88">
      <t>リョウ</t>
    </rPh>
    <rPh sb="89" eb="91">
      <t>カンサン</t>
    </rPh>
    <rPh sb="109" eb="111">
      <t>ヒョウカ</t>
    </rPh>
    <phoneticPr fontId="18"/>
  </si>
  <si>
    <r>
      <rPr>
        <sz val="11"/>
        <color theme="1"/>
        <rFont val="ＭＳ 明朝"/>
        <family val="1"/>
        <charset val="128"/>
      </rPr>
      <t>液体酸素の一般入札競争での落札価格のうち公開されている最新のものを使用（産総研</t>
    </r>
    <r>
      <rPr>
        <sz val="11"/>
        <color theme="1"/>
        <rFont val="Century"/>
        <family val="1"/>
      </rPr>
      <t xml:space="preserve"> 2016</t>
    </r>
    <r>
      <rPr>
        <sz val="11"/>
        <color theme="1"/>
        <rFont val="ＭＳ 明朝"/>
        <family val="1"/>
        <charset val="128"/>
      </rPr>
      <t>年</t>
    </r>
    <r>
      <rPr>
        <sz val="11"/>
        <color theme="1"/>
        <rFont val="Century"/>
        <family val="1"/>
      </rPr>
      <t>)</t>
    </r>
    <rPh sb="0" eb="4">
      <t>エキタイサンソ</t>
    </rPh>
    <rPh sb="5" eb="7">
      <t>イッパン</t>
    </rPh>
    <rPh sb="7" eb="9">
      <t>ニュウサツ</t>
    </rPh>
    <rPh sb="9" eb="11">
      <t>キョウソウ</t>
    </rPh>
    <rPh sb="13" eb="15">
      <t>ラクサツ</t>
    </rPh>
    <rPh sb="15" eb="17">
      <t>カカク</t>
    </rPh>
    <rPh sb="20" eb="22">
      <t>コウカイ</t>
    </rPh>
    <rPh sb="27" eb="29">
      <t>サイシン</t>
    </rPh>
    <rPh sb="33" eb="35">
      <t>シヨウ</t>
    </rPh>
    <rPh sb="36" eb="39">
      <t>サンソウケン</t>
    </rPh>
    <rPh sb="44" eb="45">
      <t>ネン</t>
    </rPh>
    <phoneticPr fontId="18"/>
  </si>
  <si>
    <t>蒸散量</t>
    <rPh sb="0" eb="2">
      <t>ジョウサン</t>
    </rPh>
    <rPh sb="2" eb="3">
      <t>リョウ</t>
    </rPh>
    <phoneticPr fontId="18"/>
  </si>
  <si>
    <t>参考文献</t>
    <rPh sb="0" eb="4">
      <t>サンコウブンケン</t>
    </rPh>
    <phoneticPr fontId="18"/>
  </si>
  <si>
    <t>International Water Association. 2014. International Statistics for Water Services. International Water Association, London, United Kingdom</t>
  </si>
  <si>
    <t>このツールに不具合があった場合や、修正の要望などがあった場合でも、バードライフはその義務を負わないものとします。</t>
    <phoneticPr fontId="18"/>
  </si>
  <si>
    <t>」</t>
    <phoneticPr fontId="18"/>
  </si>
  <si>
    <t>←半角数字・整数で入力（6以上を入力）</t>
    <rPh sb="1" eb="5">
      <t>ハンカクスウジ</t>
    </rPh>
    <rPh sb="6" eb="8">
      <t>セイスウ</t>
    </rPh>
    <rPh sb="9" eb="11">
      <t>ニュウリョク</t>
    </rPh>
    <rPh sb="13" eb="15">
      <t>イジョウ</t>
    </rPh>
    <rPh sb="16" eb="18">
      <t>ニュウリョク</t>
    </rPh>
    <phoneticPr fontId="18"/>
  </si>
  <si>
    <t>Ver. 1.0   Copyright © 2017 BirdLife International Tokyo  All Rights Reserved.</t>
    <phoneticPr fontId="18"/>
  </si>
  <si>
    <t>植林活動の経済価値評価ツールの使い方</t>
    <rPh sb="15" eb="16">
      <t>ツカ</t>
    </rPh>
    <rPh sb="17" eb="18">
      <t>カタ</t>
    </rPh>
    <phoneticPr fontId="18"/>
  </si>
  <si>
    <t>経済価値への換算は、代替費用法を用いています。すなわち、樹林が果たしている機能を、機械やサービスとして人為的に行った場合に必要な費用に置き換えることで経済価値に換算しています。各評価項目をそれぞれ何と置き換えているかについては以降に記載しています。</t>
    <rPh sb="0" eb="4">
      <t>ケイザイカチ</t>
    </rPh>
    <rPh sb="6" eb="8">
      <t>カンサン</t>
    </rPh>
    <rPh sb="10" eb="12">
      <t>ダイタイ</t>
    </rPh>
    <rPh sb="12" eb="14">
      <t>ヒヨウ</t>
    </rPh>
    <rPh sb="14" eb="15">
      <t>ホウ</t>
    </rPh>
    <rPh sb="16" eb="17">
      <t>モチ</t>
    </rPh>
    <rPh sb="28" eb="30">
      <t>ジュリン</t>
    </rPh>
    <rPh sb="31" eb="32">
      <t>ハ</t>
    </rPh>
    <rPh sb="37" eb="39">
      <t>キノウ</t>
    </rPh>
    <rPh sb="41" eb="43">
      <t>キカイ</t>
    </rPh>
    <rPh sb="51" eb="54">
      <t>ジンイテキ</t>
    </rPh>
    <rPh sb="55" eb="56">
      <t>オコナ</t>
    </rPh>
    <rPh sb="58" eb="60">
      <t>バアイ</t>
    </rPh>
    <rPh sb="61" eb="63">
      <t>ヒツヨウ</t>
    </rPh>
    <rPh sb="64" eb="66">
      <t>ヒヨウ</t>
    </rPh>
    <rPh sb="67" eb="68">
      <t>オ</t>
    </rPh>
    <rPh sb="69" eb="70">
      <t>カ</t>
    </rPh>
    <rPh sb="75" eb="79">
      <t>ケイザイカチ</t>
    </rPh>
    <rPh sb="80" eb="82">
      <t>カンサン</t>
    </rPh>
    <phoneticPr fontId="18"/>
  </si>
  <si>
    <r>
      <t>「②植林情報」の「生育指数」は、「③生育指数の判断基準」に示される林冠の高さ</t>
    </r>
    <r>
      <rPr>
        <vertAlign val="superscript"/>
        <sz val="11"/>
        <color theme="1"/>
        <rFont val="ＭＳ Ｐゴシック"/>
        <family val="3"/>
        <charset val="128"/>
        <scheme val="minor"/>
      </rPr>
      <t>注1</t>
    </r>
    <r>
      <rPr>
        <sz val="11"/>
        <color theme="1"/>
        <rFont val="ＭＳ Ｐゴシック"/>
        <family val="3"/>
        <charset val="128"/>
        <scheme val="minor"/>
      </rPr>
      <t>の３つの範囲から、該当するものの生育指数（Ⅰ、Ⅱ、Ⅲのいずれか）をプルダウンメニューから選択します。
※ 7)の経過年数、および6)の樹種を入力してから生育指数を選択して下さい。</t>
    </r>
    <rPh sb="2" eb="4">
      <t>ショクリン</t>
    </rPh>
    <rPh sb="4" eb="6">
      <t>ジョウホウ</t>
    </rPh>
    <rPh sb="9" eb="11">
      <t>セイイク</t>
    </rPh>
    <rPh sb="11" eb="13">
      <t>シスウ</t>
    </rPh>
    <rPh sb="18" eb="20">
      <t>セイイク</t>
    </rPh>
    <rPh sb="20" eb="22">
      <t>シスウ</t>
    </rPh>
    <rPh sb="23" eb="27">
      <t>ハンダンキジュン</t>
    </rPh>
    <rPh sb="29" eb="30">
      <t>シメ</t>
    </rPh>
    <rPh sb="33" eb="35">
      <t>リンカン</t>
    </rPh>
    <rPh sb="36" eb="37">
      <t>タカ</t>
    </rPh>
    <rPh sb="38" eb="39">
      <t>チュウ</t>
    </rPh>
    <phoneticPr fontId="18"/>
  </si>
  <si>
    <t>「②植林情報」の「植林前の土地利用」は、植林前の土地利用に最も近いものをプルダウンメニューから選択します。
工場などで芝地や観葉植物が植えられていた場合や、判別が難しい場合には、「建物用地」を選択します。</t>
    <rPh sb="2" eb="4">
      <t>ショクリン</t>
    </rPh>
    <rPh sb="4" eb="6">
      <t>ジョウホウ</t>
    </rPh>
    <rPh sb="9" eb="11">
      <t>ショクリン</t>
    </rPh>
    <rPh sb="11" eb="12">
      <t>マエ</t>
    </rPh>
    <rPh sb="13" eb="17">
      <t>トチリヨウ</t>
    </rPh>
    <rPh sb="20" eb="22">
      <t>ショクリン</t>
    </rPh>
    <rPh sb="22" eb="23">
      <t>マエ</t>
    </rPh>
    <rPh sb="24" eb="28">
      <t>トチリヨウ</t>
    </rPh>
    <rPh sb="29" eb="30">
      <t>モット</t>
    </rPh>
    <rPh sb="31" eb="32">
      <t>チカ</t>
    </rPh>
    <rPh sb="47" eb="49">
      <t>センタク</t>
    </rPh>
    <phoneticPr fontId="18"/>
  </si>
  <si>
    <t>「②植林情報」の「経過年数」には、植林してからの経過年数を入力します。
植林してからの経過年数が5年以下の場合は、ばらつきが大きく、評価精度が低くなるため、6年以上が対象となります。</t>
    <rPh sb="2" eb="4">
      <t>ショクリン</t>
    </rPh>
    <rPh sb="4" eb="6">
      <t>ジョウホウ</t>
    </rPh>
    <rPh sb="9" eb="13">
      <t>ケイカネンスウ</t>
    </rPh>
    <rPh sb="17" eb="19">
      <t>ショクリン</t>
    </rPh>
    <rPh sb="24" eb="28">
      <t>ケイカネンスウ</t>
    </rPh>
    <rPh sb="29" eb="31">
      <t>ニュウリョク</t>
    </rPh>
    <phoneticPr fontId="18"/>
  </si>
  <si>
    <t>入力された情報をもとに評価した植林の効果（直近１年あたり）が表示されます。</t>
    <rPh sb="0" eb="2">
      <t>ニュウリョク</t>
    </rPh>
    <rPh sb="5" eb="7">
      <t>ジョウホウ</t>
    </rPh>
    <rPh sb="11" eb="13">
      <t>ヒョウカ</t>
    </rPh>
    <rPh sb="15" eb="17">
      <t>ショクリン</t>
    </rPh>
    <rPh sb="18" eb="20">
      <t>コウカ</t>
    </rPh>
    <rPh sb="21" eb="23">
      <t>チョッキン</t>
    </rPh>
    <rPh sb="24" eb="25">
      <t>ネン</t>
    </rPh>
    <rPh sb="30" eb="32">
      <t>ヒョウジ</t>
    </rPh>
    <phoneticPr fontId="18"/>
  </si>
  <si>
    <t>「II. 評価結果」に、入力した植林地の評価結果が表示されます。
※ 評価結果は、直近1年間の値が表示されています。経過年数を6年と入力した場合は、5年目から6年目にかけての評価結果となります。</t>
    <rPh sb="5" eb="9">
      <t>ヒョウカケッカ</t>
    </rPh>
    <rPh sb="12" eb="14">
      <t>ニュウリョク</t>
    </rPh>
    <rPh sb="16" eb="19">
      <t>ショクリンチ</t>
    </rPh>
    <rPh sb="20" eb="24">
      <t>ヒョウカケッカ</t>
    </rPh>
    <rPh sb="25" eb="27">
      <t>ヒョウジ</t>
    </rPh>
    <rPh sb="35" eb="37">
      <t>ヒョウカ</t>
    </rPh>
    <rPh sb="37" eb="39">
      <t>ケッカ</t>
    </rPh>
    <rPh sb="41" eb="43">
      <t>チョッキン</t>
    </rPh>
    <rPh sb="44" eb="46">
      <t>ネンカン</t>
    </rPh>
    <rPh sb="47" eb="48">
      <t>アタイ</t>
    </rPh>
    <rPh sb="49" eb="51">
      <t>ヒョウジ</t>
    </rPh>
    <rPh sb="58" eb="60">
      <t>ケイカ</t>
    </rPh>
    <rPh sb="60" eb="62">
      <t>ネンスウ</t>
    </rPh>
    <rPh sb="64" eb="65">
      <t>ネン</t>
    </rPh>
    <rPh sb="66" eb="68">
      <t>ニュウリョク</t>
    </rPh>
    <rPh sb="70" eb="72">
      <t>バアイ</t>
    </rPh>
    <rPh sb="75" eb="77">
      <t>ネンメ</t>
    </rPh>
    <rPh sb="80" eb="82">
      <t>ネンメ</t>
    </rPh>
    <rPh sb="87" eb="89">
      <t>ヒョウカ</t>
    </rPh>
    <rPh sb="89" eb="91">
      <t>ケッカ</t>
    </rPh>
    <phoneticPr fontId="18"/>
  </si>
  <si>
    <t>環境省生物多様性及び生態系サービスの総合評価に関する検討会（2016）</t>
    <rPh sb="0" eb="3">
      <t>カンキョウショウ</t>
    </rPh>
    <rPh sb="3" eb="5">
      <t>セイブツ</t>
    </rPh>
    <rPh sb="5" eb="8">
      <t>タヨウセイ</t>
    </rPh>
    <rPh sb="8" eb="9">
      <t>オヨ</t>
    </rPh>
    <rPh sb="10" eb="13">
      <t>セイタイケイ</t>
    </rPh>
    <rPh sb="18" eb="20">
      <t>ソウゴウ</t>
    </rPh>
    <rPh sb="20" eb="22">
      <t>ヒョウカ</t>
    </rPh>
    <rPh sb="23" eb="24">
      <t>カン</t>
    </rPh>
    <rPh sb="26" eb="29">
      <t>ケントウカイ</t>
    </rPh>
    <phoneticPr fontId="18"/>
  </si>
  <si>
    <t>排煙脱硝装置の減価償却費および維持費</t>
    <rPh sb="3" eb="4">
      <t>ショウサン</t>
    </rPh>
    <phoneticPr fontId="18"/>
  </si>
  <si>
    <t>小川ら（2000）</t>
    <phoneticPr fontId="18"/>
  </si>
  <si>
    <t>小川ら（2000）をもとに、最新の取引価格（産業技術総合研究所 2016）を参照</t>
    <rPh sb="0" eb="2">
      <t>オガワ</t>
    </rPh>
    <rPh sb="14" eb="16">
      <t>サイシン</t>
    </rPh>
    <rPh sb="17" eb="21">
      <t>トリヒキカカク</t>
    </rPh>
    <rPh sb="38" eb="40">
      <t>サンショウ</t>
    </rPh>
    <phoneticPr fontId="18"/>
  </si>
  <si>
    <t>2013年全国平均（International Water Association 2014）</t>
    <phoneticPr fontId="18"/>
  </si>
  <si>
    <t>2014年全国平均値（経済産業省資源エネルギー庁 2016）</t>
    <rPh sb="4" eb="5">
      <t>ネン</t>
    </rPh>
    <rPh sb="5" eb="7">
      <t>ゼンコク</t>
    </rPh>
    <rPh sb="7" eb="10">
      <t>ヘイキンチ</t>
    </rPh>
    <rPh sb="11" eb="16">
      <t>ケイザイサンギョウショウ</t>
    </rPh>
    <rPh sb="16" eb="18">
      <t>シゲン</t>
    </rPh>
    <rPh sb="23" eb="24">
      <t>チョウ</t>
    </rPh>
    <phoneticPr fontId="18"/>
  </si>
  <si>
    <t>環境省光化学オキシダント調査検討会. 2014. 光化学オキシダント調査検討会 報告書 ～光化学オキシダントの解析と対策へ向けた指標の提言～. 環境省水・大気環境局大気環境課. 126pp</t>
  </si>
  <si>
    <t>経済産業省資源エネルギー庁. 2016. 平成27年度エネルギーに関する年次報告. 経済産業省 資源エネルギー庁. 333pp</t>
    <phoneticPr fontId="18"/>
  </si>
  <si>
    <t>小川和雄・三輪誠・嶋田知英・小川進. 2000. 日本における緑地の大気浄化機能とその経済的評価. 埼玉県環境科学国際センター報 1: 1-12</t>
  </si>
  <si>
    <t>産業技術総合研究所. 調達情報 ― 液体酸素の落札者等の公表. https://unit.aist.go.jp/fad/ci/supplyinfo/detail/39938878/　最終アクセス日: 2016年12月9日</t>
  </si>
  <si>
    <r>
      <t>CO</t>
    </r>
    <r>
      <rPr>
        <vertAlign val="subscript"/>
        <sz val="11"/>
        <color theme="1"/>
        <rFont val="ＭＳ Ｐゴシック"/>
        <family val="3"/>
        <charset val="128"/>
        <scheme val="minor"/>
      </rPr>
      <t>2</t>
    </r>
    <r>
      <rPr>
        <sz val="11"/>
        <color theme="1"/>
        <rFont val="ＭＳ Ｐゴシック"/>
        <family val="3"/>
        <charset val="128"/>
        <scheme val="minor"/>
      </rPr>
      <t>固定</t>
    </r>
    <rPh sb="3" eb="5">
      <t>コテイ</t>
    </rPh>
    <phoneticPr fontId="18"/>
  </si>
  <si>
    <r>
      <t>円/kg-CO</t>
    </r>
    <r>
      <rPr>
        <vertAlign val="subscript"/>
        <sz val="11"/>
        <color theme="1"/>
        <rFont val="ＭＳ Ｐゴシック"/>
        <family val="3"/>
        <charset val="128"/>
        <scheme val="minor"/>
      </rPr>
      <t>2</t>
    </r>
    <rPh sb="0" eb="1">
      <t>エン</t>
    </rPh>
    <phoneticPr fontId="18"/>
  </si>
  <si>
    <r>
      <t>NO</t>
    </r>
    <r>
      <rPr>
        <vertAlign val="subscript"/>
        <sz val="11"/>
        <color theme="1"/>
        <rFont val="ＭＳ Ｐゴシック"/>
        <family val="3"/>
        <charset val="128"/>
        <scheme val="minor"/>
      </rPr>
      <t>2</t>
    </r>
    <r>
      <rPr>
        <sz val="11"/>
        <color theme="1"/>
        <rFont val="ＭＳ Ｐゴシック"/>
        <family val="3"/>
        <charset val="128"/>
        <scheme val="minor"/>
      </rPr>
      <t>吸収</t>
    </r>
    <rPh sb="3" eb="5">
      <t>キュウシュウ</t>
    </rPh>
    <phoneticPr fontId="18"/>
  </si>
  <si>
    <r>
      <t>円/kg-NO</t>
    </r>
    <r>
      <rPr>
        <vertAlign val="subscript"/>
        <sz val="11"/>
        <color theme="1"/>
        <rFont val="ＭＳ Ｐゴシック"/>
        <family val="3"/>
        <charset val="128"/>
        <scheme val="minor"/>
      </rPr>
      <t>2</t>
    </r>
    <rPh sb="0" eb="1">
      <t>エン</t>
    </rPh>
    <phoneticPr fontId="18"/>
  </si>
  <si>
    <r>
      <t>SO</t>
    </r>
    <r>
      <rPr>
        <vertAlign val="subscript"/>
        <sz val="11"/>
        <color theme="1"/>
        <rFont val="ＭＳ Ｐゴシック"/>
        <family val="3"/>
        <charset val="128"/>
        <scheme val="minor"/>
      </rPr>
      <t>2</t>
    </r>
    <r>
      <rPr>
        <sz val="11"/>
        <color theme="1"/>
        <rFont val="ＭＳ Ｐゴシック"/>
        <family val="3"/>
        <charset val="128"/>
        <scheme val="minor"/>
      </rPr>
      <t>吸収</t>
    </r>
    <rPh sb="3" eb="5">
      <t>キュウシュウ</t>
    </rPh>
    <phoneticPr fontId="18"/>
  </si>
  <si>
    <r>
      <t>円/kg-SO</t>
    </r>
    <r>
      <rPr>
        <vertAlign val="subscript"/>
        <sz val="11"/>
        <color theme="1"/>
        <rFont val="ＭＳ Ｐゴシック"/>
        <family val="3"/>
        <charset val="128"/>
        <scheme val="minor"/>
      </rPr>
      <t>2</t>
    </r>
    <rPh sb="0" eb="1">
      <t>エン</t>
    </rPh>
    <phoneticPr fontId="18"/>
  </si>
  <si>
    <r>
      <t>O</t>
    </r>
    <r>
      <rPr>
        <vertAlign val="subscript"/>
        <sz val="11"/>
        <color theme="1"/>
        <rFont val="ＭＳ Ｐゴシック"/>
        <family val="3"/>
        <charset val="128"/>
        <scheme val="minor"/>
      </rPr>
      <t>3</t>
    </r>
    <r>
      <rPr>
        <sz val="11"/>
        <color theme="1"/>
        <rFont val="ＭＳ Ｐゴシック"/>
        <family val="3"/>
        <charset val="128"/>
        <scheme val="minor"/>
      </rPr>
      <t>吸収</t>
    </r>
    <rPh sb="2" eb="4">
      <t>キュウシュウ</t>
    </rPh>
    <phoneticPr fontId="18"/>
  </si>
  <si>
    <r>
      <t>1モルあたりのNO</t>
    </r>
    <r>
      <rPr>
        <vertAlign val="subscript"/>
        <sz val="11"/>
        <color theme="1"/>
        <rFont val="ＭＳ Ｐゴシック"/>
        <family val="3"/>
        <charset val="128"/>
        <scheme val="minor"/>
      </rPr>
      <t>2</t>
    </r>
    <r>
      <rPr>
        <sz val="11"/>
        <color theme="1"/>
        <rFont val="ＭＳ Ｐゴシック"/>
        <family val="3"/>
        <charset val="128"/>
        <scheme val="minor"/>
      </rPr>
      <t>吸収費用と同額と過程</t>
    </r>
    <rPh sb="10" eb="12">
      <t>キュウシュウ</t>
    </rPh>
    <rPh sb="12" eb="14">
      <t>ヒヨウ</t>
    </rPh>
    <rPh sb="15" eb="17">
      <t>ドウガク</t>
    </rPh>
    <rPh sb="18" eb="20">
      <t>カテイ</t>
    </rPh>
    <phoneticPr fontId="18"/>
  </si>
  <si>
    <r>
      <t>円/kg-O</t>
    </r>
    <r>
      <rPr>
        <vertAlign val="subscript"/>
        <sz val="11"/>
        <color theme="1"/>
        <rFont val="ＭＳ Ｐゴシック"/>
        <family val="3"/>
        <charset val="128"/>
        <scheme val="minor"/>
      </rPr>
      <t>3</t>
    </r>
    <rPh sb="0" eb="1">
      <t>エン</t>
    </rPh>
    <phoneticPr fontId="18"/>
  </si>
  <si>
    <r>
      <t>O</t>
    </r>
    <r>
      <rPr>
        <vertAlign val="subscript"/>
        <sz val="11"/>
        <rFont val="ＭＳ Ｐゴシック"/>
        <family val="3"/>
        <charset val="128"/>
        <scheme val="minor"/>
      </rPr>
      <t>3</t>
    </r>
    <r>
      <rPr>
        <sz val="11"/>
        <rFont val="ＭＳ Ｐゴシック"/>
        <family val="3"/>
        <charset val="128"/>
        <scheme val="minor"/>
      </rPr>
      <t>（光化学オキシダント）の前駆物質がNO</t>
    </r>
    <r>
      <rPr>
        <vertAlign val="subscript"/>
        <sz val="11"/>
        <rFont val="ＭＳ Ｐゴシック"/>
        <family val="3"/>
        <charset val="128"/>
        <scheme val="minor"/>
      </rPr>
      <t>2</t>
    </r>
    <r>
      <rPr>
        <sz val="11"/>
        <rFont val="ＭＳ Ｐゴシック"/>
        <family val="3"/>
        <charset val="128"/>
        <scheme val="minor"/>
      </rPr>
      <t>なので、NO</t>
    </r>
    <r>
      <rPr>
        <vertAlign val="subscript"/>
        <sz val="11"/>
        <rFont val="ＭＳ Ｐゴシック"/>
        <family val="3"/>
        <charset val="128"/>
        <scheme val="minor"/>
      </rPr>
      <t>2</t>
    </r>
    <r>
      <rPr>
        <sz val="11"/>
        <rFont val="ＭＳ Ｐゴシック"/>
        <family val="3"/>
        <charset val="128"/>
        <scheme val="minor"/>
      </rPr>
      <t>を吸収量で換算する考え方（環境省光化学オキシダント調査検討会 2014）</t>
    </r>
    <rPh sb="3" eb="6">
      <t>コウカガク</t>
    </rPh>
    <rPh sb="14" eb="18">
      <t>ゼンクブッシツ</t>
    </rPh>
    <rPh sb="30" eb="32">
      <t>キュウシュウ</t>
    </rPh>
    <rPh sb="32" eb="33">
      <t>リョウ</t>
    </rPh>
    <rPh sb="34" eb="36">
      <t>カンサン</t>
    </rPh>
    <rPh sb="38" eb="39">
      <t>カンガ</t>
    </rPh>
    <rPh sb="40" eb="41">
      <t>カタ</t>
    </rPh>
    <rPh sb="42" eb="45">
      <t>カンキョウショウ</t>
    </rPh>
    <phoneticPr fontId="18"/>
  </si>
  <si>
    <r>
      <t>O</t>
    </r>
    <r>
      <rPr>
        <vertAlign val="subscript"/>
        <sz val="11"/>
        <color theme="1"/>
        <rFont val="ＭＳ Ｐゴシック"/>
        <family val="3"/>
        <charset val="128"/>
        <scheme val="minor"/>
      </rPr>
      <t>2</t>
    </r>
    <r>
      <rPr>
        <sz val="11"/>
        <color theme="1"/>
        <rFont val="ＭＳ Ｐゴシック"/>
        <family val="3"/>
        <charset val="128"/>
        <scheme val="minor"/>
      </rPr>
      <t>放出</t>
    </r>
    <rPh sb="2" eb="4">
      <t>ホウシュツ</t>
    </rPh>
    <phoneticPr fontId="18"/>
  </si>
  <si>
    <r>
      <t>円/kg-O</t>
    </r>
    <r>
      <rPr>
        <vertAlign val="subscript"/>
        <sz val="11"/>
        <color theme="1"/>
        <rFont val="ＭＳ Ｐゴシック"/>
        <family val="3"/>
        <charset val="128"/>
        <scheme val="minor"/>
      </rPr>
      <t>2</t>
    </r>
    <rPh sb="0" eb="1">
      <t>エン</t>
    </rPh>
    <phoneticPr fontId="18"/>
  </si>
  <si>
    <r>
      <t>円/m</t>
    </r>
    <r>
      <rPr>
        <vertAlign val="superscript"/>
        <sz val="11"/>
        <color theme="1"/>
        <rFont val="ＭＳ Ｐゴシック"/>
        <family val="3"/>
        <charset val="128"/>
        <scheme val="minor"/>
      </rPr>
      <t>3</t>
    </r>
    <rPh sb="0" eb="1">
      <t>エン</t>
    </rPh>
    <phoneticPr fontId="18"/>
  </si>
  <si>
    <t>環境省生物多様性及び生態系サービスの総合評価に関する検討会．2016．生物多様性及び生態系サービスの総合評価報告書．環境省 自然環境局自然環境計画課生物多様性地球戦略企画室．157 pp</t>
    <phoneticPr fontId="18"/>
  </si>
  <si>
    <t>林冠とは、樹林の最上位部分を指します。下図に示すように、林冠を形成している部分（赤枠部分）の平均的な高さを調べます。</t>
    <rPh sb="0" eb="2">
      <t>リンカン</t>
    </rPh>
    <rPh sb="5" eb="7">
      <t>ジュリン</t>
    </rPh>
    <rPh sb="8" eb="11">
      <t>サイジョウイ</t>
    </rPh>
    <rPh sb="11" eb="13">
      <t>ブブン</t>
    </rPh>
    <rPh sb="14" eb="15">
      <t>サ</t>
    </rPh>
    <phoneticPr fontId="18"/>
  </si>
  <si>
    <t>【本ツールの使用にあたって】</t>
    <rPh sb="1" eb="2">
      <t>ホン</t>
    </rPh>
    <rPh sb="6" eb="8">
      <t>シヨウ</t>
    </rPh>
    <phoneticPr fontId="18"/>
  </si>
  <si>
    <t>【使い方】</t>
    <rPh sb="1" eb="2">
      <t>ツカ</t>
    </rPh>
    <rPh sb="3" eb="4">
      <t>カタ</t>
    </rPh>
    <phoneticPr fontId="18"/>
  </si>
  <si>
    <t>「②植林情報」の「植林面積(m2)」には、植林した面積を入力します。</t>
    <phoneticPr fontId="18"/>
  </si>
  <si>
    <t>本ツールは工場敷地内や公園緑化など限られたスペースで行われた植林活動の経済価値を、樹高などの簡単な現地調査や基本的な情報を使用し、簡易的に評価することを目的に作成されました。</t>
    <rPh sb="0" eb="1">
      <t>ホン</t>
    </rPh>
    <rPh sb="5" eb="7">
      <t>コウジョウ</t>
    </rPh>
    <rPh sb="7" eb="9">
      <t>シキチ</t>
    </rPh>
    <rPh sb="9" eb="10">
      <t>ナイ</t>
    </rPh>
    <rPh sb="11" eb="13">
      <t>コウエン</t>
    </rPh>
    <rPh sb="13" eb="15">
      <t>リョクカ</t>
    </rPh>
    <rPh sb="17" eb="18">
      <t>カギ</t>
    </rPh>
    <rPh sb="26" eb="27">
      <t>オコナ</t>
    </rPh>
    <rPh sb="30" eb="32">
      <t>ショクリン</t>
    </rPh>
    <rPh sb="32" eb="34">
      <t>カツドウ</t>
    </rPh>
    <rPh sb="35" eb="37">
      <t>ケイザイ</t>
    </rPh>
    <rPh sb="37" eb="39">
      <t>カチ</t>
    </rPh>
    <rPh sb="41" eb="43">
      <t>ジュコウ</t>
    </rPh>
    <rPh sb="46" eb="48">
      <t>カンタン</t>
    </rPh>
    <rPh sb="49" eb="53">
      <t>ゲンチチョウサ</t>
    </rPh>
    <rPh sb="54" eb="57">
      <t>キホンテキ</t>
    </rPh>
    <rPh sb="58" eb="60">
      <t>ジョウホウ</t>
    </rPh>
    <rPh sb="61" eb="63">
      <t>シヨウ</t>
    </rPh>
    <rPh sb="65" eb="68">
      <t>カンイテキ</t>
    </rPh>
    <rPh sb="69" eb="71">
      <t>ヒョウカ</t>
    </rPh>
    <rPh sb="76" eb="78">
      <t>モクテキ</t>
    </rPh>
    <rPh sb="79" eb="81">
      <t>サクセイ</t>
    </rPh>
    <phoneticPr fontId="18"/>
  </si>
  <si>
    <t>本ツールでは、地域特性や生育状況、樹種などの情報から評価を行っています。植林の密度や場所ごとの環境条件、管理方法等は加味されていないため、より高精度での評価を実施する場合には、詳細な現地調査が必要となります。</t>
    <rPh sb="0" eb="1">
      <t>ホン</t>
    </rPh>
    <rPh sb="7" eb="9">
      <t>チイキ</t>
    </rPh>
    <rPh sb="9" eb="11">
      <t>トクセイ</t>
    </rPh>
    <rPh sb="12" eb="16">
      <t>セイイク</t>
    </rPh>
    <rPh sb="17" eb="19">
      <t>ジュシュ</t>
    </rPh>
    <rPh sb="22" eb="24">
      <t>ジョウホウ</t>
    </rPh>
    <rPh sb="26" eb="28">
      <t>ヒョウカ</t>
    </rPh>
    <rPh sb="29" eb="30">
      <t>オコナ</t>
    </rPh>
    <rPh sb="36" eb="38">
      <t>ショクリン</t>
    </rPh>
    <rPh sb="39" eb="41">
      <t>ミツド</t>
    </rPh>
    <rPh sb="42" eb="44">
      <t>バショ</t>
    </rPh>
    <rPh sb="47" eb="51">
      <t>カンキョウジョウケン</t>
    </rPh>
    <rPh sb="52" eb="56">
      <t>カンリホウホウ</t>
    </rPh>
    <rPh sb="56" eb="57">
      <t>トウ</t>
    </rPh>
    <rPh sb="58" eb="60">
      <t>カミ</t>
    </rPh>
    <rPh sb="88" eb="90">
      <t>ショウサイ</t>
    </rPh>
    <rPh sb="91" eb="95">
      <t>ゲンチチョウサ</t>
    </rPh>
    <rPh sb="96" eb="98">
      <t>ヒツヨウ</t>
    </rPh>
    <phoneticPr fontId="18"/>
  </si>
  <si>
    <t>本ツールは、「森林」の経済的価値を評価するツールです。ここでは、「森林」とは、高木が複数植えられており、最小樹冠被覆率が30%以上のものを指します。ビオトープ等でも樹木が複数植えられていますが、まばらに植えられている場合は最小樹冠被覆率30%以上の条件を満たさないため、本ツールでの評価対象外となります。</t>
    <rPh sb="0" eb="1">
      <t>ホン</t>
    </rPh>
    <rPh sb="7" eb="9">
      <t>シンリン</t>
    </rPh>
    <rPh sb="11" eb="14">
      <t>ケイザイテキ</t>
    </rPh>
    <rPh sb="14" eb="16">
      <t>カチ</t>
    </rPh>
    <rPh sb="17" eb="19">
      <t>ヒョウカ</t>
    </rPh>
    <rPh sb="33" eb="35">
      <t>シンリン</t>
    </rPh>
    <rPh sb="39" eb="41">
      <t>コウボク</t>
    </rPh>
    <rPh sb="42" eb="44">
      <t>フクスウ</t>
    </rPh>
    <rPh sb="44" eb="45">
      <t>ウ</t>
    </rPh>
    <rPh sb="52" eb="54">
      <t>サイショウ</t>
    </rPh>
    <rPh sb="54" eb="56">
      <t>ジュカン</t>
    </rPh>
    <rPh sb="56" eb="59">
      <t>ヒフクリツ</t>
    </rPh>
    <rPh sb="63" eb="65">
      <t>イジョウ</t>
    </rPh>
    <rPh sb="69" eb="70">
      <t>サ</t>
    </rPh>
    <rPh sb="79" eb="80">
      <t>ナド</t>
    </rPh>
    <rPh sb="82" eb="84">
      <t>ジュモク</t>
    </rPh>
    <rPh sb="85" eb="87">
      <t>フクスウ</t>
    </rPh>
    <rPh sb="87" eb="88">
      <t>ウ</t>
    </rPh>
    <rPh sb="101" eb="102">
      <t>ウ</t>
    </rPh>
    <rPh sb="108" eb="110">
      <t>バアイ</t>
    </rPh>
    <rPh sb="121" eb="123">
      <t>イジョウ</t>
    </rPh>
    <rPh sb="124" eb="126">
      <t>ジョウケン</t>
    </rPh>
    <rPh sb="127" eb="128">
      <t>ミ</t>
    </rPh>
    <rPh sb="135" eb="136">
      <t>ホン</t>
    </rPh>
    <rPh sb="141" eb="143">
      <t>ヒョウカ</t>
    </rPh>
    <rPh sb="143" eb="146">
      <t>タイショウガイ</t>
    </rPh>
    <phoneticPr fontId="18"/>
  </si>
  <si>
    <t>本ツールは、高木を対象にしたツールです。アジサイなどの低木のみを植えた場所には使用できません。</t>
    <rPh sb="0" eb="1">
      <t>ホン</t>
    </rPh>
    <rPh sb="6" eb="8">
      <t>コウボク</t>
    </rPh>
    <rPh sb="9" eb="11">
      <t>タイショウ</t>
    </rPh>
    <rPh sb="27" eb="29">
      <t>テイボク</t>
    </rPh>
    <rPh sb="32" eb="33">
      <t>ウ</t>
    </rPh>
    <rPh sb="35" eb="37">
      <t>バショ</t>
    </rPh>
    <rPh sb="39" eb="41">
      <t>シヨウ</t>
    </rPh>
    <phoneticPr fontId="18"/>
  </si>
  <si>
    <t>本ツールで評価が可能な価値は、植林により生み出された経済効果の一部分のみとなります。本ツールの対象外となるものには下記のようなものが含まれます。
　・遮光による気象緩和
　・土壌形成・流出防止
　・生物の生息地としての価値
　・文化的な価値
　・評価に必要なデータが入手困難なもの（現地調査が必要なもの、データが公開されていないものなど）</t>
    <rPh sb="0" eb="1">
      <t>ホン</t>
    </rPh>
    <rPh sb="5" eb="7">
      <t>ヒョウカ</t>
    </rPh>
    <rPh sb="8" eb="10">
      <t>カノウ</t>
    </rPh>
    <rPh sb="11" eb="13">
      <t>カチ</t>
    </rPh>
    <rPh sb="15" eb="17">
      <t>ショクリン</t>
    </rPh>
    <rPh sb="20" eb="21">
      <t>ウ</t>
    </rPh>
    <rPh sb="22" eb="23">
      <t>ダ</t>
    </rPh>
    <rPh sb="42" eb="43">
      <t>ホン</t>
    </rPh>
    <rPh sb="47" eb="50">
      <t>タイショウガイ</t>
    </rPh>
    <rPh sb="57" eb="59">
      <t>カキ</t>
    </rPh>
    <rPh sb="66" eb="67">
      <t>フク</t>
    </rPh>
    <phoneticPr fontId="18"/>
  </si>
  <si>
    <t>そのため、本ツールでの評価結果のみで植林による効果を全て把握できるわけではありません。</t>
    <rPh sb="5" eb="6">
      <t>ホン</t>
    </rPh>
    <rPh sb="11" eb="15">
      <t>ヒョウカケッカ</t>
    </rPh>
    <rPh sb="18" eb="20">
      <t>ショクリン</t>
    </rPh>
    <rPh sb="23" eb="25">
      <t>コウカ</t>
    </rPh>
    <rPh sb="26" eb="27">
      <t>スベ</t>
    </rPh>
    <rPh sb="28" eb="30">
      <t>ハアク</t>
    </rPh>
    <phoneticPr fontId="18"/>
  </si>
  <si>
    <t>日本国内における炭素取引価格を適用しています。</t>
    <rPh sb="0" eb="2">
      <t>ニホン</t>
    </rPh>
    <rPh sb="2" eb="4">
      <t>コクナイ</t>
    </rPh>
    <rPh sb="8" eb="14">
      <t>タンソ</t>
    </rPh>
    <rPh sb="15" eb="17">
      <t>テキヨウ</t>
    </rPh>
    <phoneticPr fontId="18"/>
  </si>
  <si>
    <r>
      <t>植物が光合成を行うことでCO</t>
    </r>
    <r>
      <rPr>
        <vertAlign val="subscript"/>
        <sz val="11"/>
        <color theme="1"/>
        <rFont val="ＭＳ Ｐゴシック"/>
        <family val="3"/>
        <charset val="128"/>
        <scheme val="minor"/>
      </rPr>
      <t>2</t>
    </r>
    <r>
      <rPr>
        <sz val="11"/>
        <color theme="1"/>
        <rFont val="ＭＳ Ｐゴシック"/>
        <family val="3"/>
        <charset val="128"/>
        <scheme val="minor"/>
      </rPr>
      <t>を吸収する際、一定の割合でNO</t>
    </r>
    <r>
      <rPr>
        <vertAlign val="subscript"/>
        <sz val="11"/>
        <color theme="1"/>
        <rFont val="ＭＳ Ｐゴシック"/>
        <family val="3"/>
        <charset val="128"/>
        <scheme val="minor"/>
      </rPr>
      <t>2</t>
    </r>
    <r>
      <rPr>
        <sz val="11"/>
        <color theme="1"/>
        <rFont val="ＭＳ Ｐゴシック"/>
        <family val="3"/>
        <charset val="128"/>
        <scheme val="minor"/>
      </rPr>
      <t>やSO</t>
    </r>
    <r>
      <rPr>
        <vertAlign val="subscript"/>
        <sz val="11"/>
        <color theme="1"/>
        <rFont val="ＭＳ Ｐゴシック"/>
        <family val="3"/>
        <charset val="128"/>
        <scheme val="minor"/>
      </rPr>
      <t>2</t>
    </r>
    <r>
      <rPr>
        <sz val="11"/>
        <color theme="1"/>
        <rFont val="ＭＳ Ｐゴシック"/>
        <family val="3"/>
        <charset val="128"/>
        <scheme val="minor"/>
      </rPr>
      <t>、O</t>
    </r>
    <r>
      <rPr>
        <vertAlign val="subscript"/>
        <sz val="11"/>
        <color theme="1"/>
        <rFont val="ＭＳ Ｐゴシック"/>
        <family val="3"/>
        <charset val="128"/>
        <scheme val="minor"/>
      </rPr>
      <t>3</t>
    </r>
    <r>
      <rPr>
        <sz val="11"/>
        <color theme="1"/>
        <rFont val="ＭＳ Ｐゴシック"/>
        <family val="3"/>
        <charset val="128"/>
        <scheme val="minor"/>
      </rPr>
      <t>を吸収し、O</t>
    </r>
    <r>
      <rPr>
        <vertAlign val="subscript"/>
        <sz val="11"/>
        <color theme="1"/>
        <rFont val="ＭＳ Ｐゴシック"/>
        <family val="3"/>
        <charset val="128"/>
        <scheme val="minor"/>
      </rPr>
      <t>2</t>
    </r>
    <r>
      <rPr>
        <sz val="11"/>
        <color theme="1"/>
        <rFont val="ＭＳ Ｐゴシック"/>
        <family val="3"/>
        <charset val="128"/>
        <scheme val="minor"/>
      </rPr>
      <t>を放出することが明らかになっています。CO</t>
    </r>
    <r>
      <rPr>
        <vertAlign val="subscript"/>
        <sz val="11"/>
        <color theme="1"/>
        <rFont val="ＭＳ Ｐゴシック"/>
        <family val="3"/>
        <charset val="128"/>
        <scheme val="minor"/>
      </rPr>
      <t>2</t>
    </r>
    <r>
      <rPr>
        <sz val="11"/>
        <color theme="1"/>
        <rFont val="ＭＳ Ｐゴシック"/>
        <family val="3"/>
        <charset val="128"/>
        <scheme val="minor"/>
      </rPr>
      <t>固定量に各汚染物質の吸収特性や大気中濃度などを加味し、それぞれの吸収量を計算しています。</t>
    </r>
    <rPh sb="0" eb="2">
      <t>ショクブツ</t>
    </rPh>
    <rPh sb="3" eb="6">
      <t>コウゴウセイ</t>
    </rPh>
    <rPh sb="7" eb="8">
      <t>オコナ</t>
    </rPh>
    <rPh sb="16" eb="18">
      <t>キュウシュウ</t>
    </rPh>
    <rPh sb="20" eb="21">
      <t>サイ</t>
    </rPh>
    <rPh sb="22" eb="24">
      <t>イッテイ</t>
    </rPh>
    <rPh sb="25" eb="27">
      <t>ワリアイ</t>
    </rPh>
    <rPh sb="39" eb="41">
      <t>キュウシュウ</t>
    </rPh>
    <rPh sb="46" eb="48">
      <t>ホウシュツ</t>
    </rPh>
    <rPh sb="67" eb="69">
      <t>コテイ</t>
    </rPh>
    <rPh sb="69" eb="70">
      <t>リョウ</t>
    </rPh>
    <rPh sb="71" eb="72">
      <t>カク</t>
    </rPh>
    <rPh sb="72" eb="76">
      <t>オセンブッシツ</t>
    </rPh>
    <rPh sb="77" eb="79">
      <t>キュウシュウ</t>
    </rPh>
    <rPh sb="79" eb="81">
      <t>トクセイ</t>
    </rPh>
    <rPh sb="82" eb="85">
      <t>タイキチュウ</t>
    </rPh>
    <rPh sb="85" eb="87">
      <t>ノウド</t>
    </rPh>
    <rPh sb="90" eb="92">
      <t>カミ</t>
    </rPh>
    <rPh sb="99" eb="102">
      <t>キュウシュウリョウ</t>
    </rPh>
    <rPh sb="103" eb="105">
      <t>ケイサン</t>
    </rPh>
    <phoneticPr fontId="18"/>
  </si>
  <si>
    <r>
      <t>NO</t>
    </r>
    <r>
      <rPr>
        <vertAlign val="subscript"/>
        <sz val="11"/>
        <color theme="1"/>
        <rFont val="ＭＳ Ｐゴシック"/>
        <family val="3"/>
        <charset val="128"/>
        <scheme val="minor"/>
      </rPr>
      <t>2</t>
    </r>
    <r>
      <rPr>
        <sz val="11"/>
        <color theme="1"/>
        <rFont val="ＭＳ Ｐゴシック"/>
        <family val="3"/>
        <charset val="128"/>
        <scheme val="minor"/>
      </rPr>
      <t>やSO</t>
    </r>
    <r>
      <rPr>
        <vertAlign val="subscript"/>
        <sz val="11"/>
        <color theme="1"/>
        <rFont val="ＭＳ Ｐゴシック"/>
        <family val="3"/>
        <charset val="128"/>
        <scheme val="minor"/>
      </rPr>
      <t>2</t>
    </r>
    <r>
      <rPr>
        <sz val="11"/>
        <color theme="1"/>
        <rFont val="ＭＳ Ｐゴシック"/>
        <family val="3"/>
        <charset val="128"/>
        <scheme val="minor"/>
      </rPr>
      <t>はそれぞれ排煙からの除去装置の減価償却・維持費を使用しています。O</t>
    </r>
    <r>
      <rPr>
        <vertAlign val="subscript"/>
        <sz val="11"/>
        <color theme="1"/>
        <rFont val="ＭＳ Ｐゴシック"/>
        <family val="3"/>
        <charset val="128"/>
        <scheme val="minor"/>
      </rPr>
      <t>3</t>
    </r>
    <r>
      <rPr>
        <sz val="11"/>
        <color theme="1"/>
        <rFont val="ＭＳ Ｐゴシック"/>
        <family val="3"/>
        <charset val="128"/>
        <scheme val="minor"/>
      </rPr>
      <t>（光化学オキシダント）はNO2の前駆物質と考えられていることから、O</t>
    </r>
    <r>
      <rPr>
        <vertAlign val="subscript"/>
        <sz val="11"/>
        <color theme="1"/>
        <rFont val="ＭＳ Ｐゴシック"/>
        <family val="3"/>
        <charset val="128"/>
        <scheme val="minor"/>
      </rPr>
      <t>3</t>
    </r>
    <r>
      <rPr>
        <sz val="11"/>
        <color theme="1"/>
        <rFont val="ＭＳ Ｐゴシック"/>
        <family val="3"/>
        <charset val="128"/>
        <scheme val="minor"/>
      </rPr>
      <t>から生成されるNO</t>
    </r>
    <r>
      <rPr>
        <vertAlign val="subscript"/>
        <sz val="11"/>
        <color theme="1"/>
        <rFont val="ＭＳ Ｐゴシック"/>
        <family val="3"/>
        <charset val="128"/>
        <scheme val="minor"/>
      </rPr>
      <t>2</t>
    </r>
    <r>
      <rPr>
        <sz val="11"/>
        <color theme="1"/>
        <rFont val="ＭＳ Ｐゴシック"/>
        <family val="3"/>
        <charset val="128"/>
        <scheme val="minor"/>
      </rPr>
      <t>の量に換算し、排煙脱硝装置の減価償却・維持費で評価しています。</t>
    </r>
    <rPh sb="87" eb="88">
      <t>リョウ</t>
    </rPh>
    <rPh sb="89" eb="91">
      <t>カンサン</t>
    </rPh>
    <phoneticPr fontId="18"/>
  </si>
  <si>
    <t>液体酸素の一般入札競争での落札価格のうち公開されている最新のものを使用しています（産総研 2016年)。</t>
    <rPh sb="0" eb="4">
      <t>エキタイサンソ</t>
    </rPh>
    <rPh sb="5" eb="7">
      <t>イッパン</t>
    </rPh>
    <rPh sb="7" eb="9">
      <t>ニュウサツ</t>
    </rPh>
    <rPh sb="9" eb="11">
      <t>キョウソウ</t>
    </rPh>
    <rPh sb="13" eb="15">
      <t>ラクサツ</t>
    </rPh>
    <rPh sb="15" eb="17">
      <t>カカク</t>
    </rPh>
    <rPh sb="20" eb="22">
      <t>コウカイ</t>
    </rPh>
    <rPh sb="27" eb="29">
      <t>サイシン</t>
    </rPh>
    <rPh sb="33" eb="35">
      <t>シヨウ</t>
    </rPh>
    <rPh sb="41" eb="44">
      <t>サンソウケン</t>
    </rPh>
    <rPh sb="49" eb="50">
      <t>ネン</t>
    </rPh>
    <phoneticPr fontId="18"/>
  </si>
  <si>
    <t>同量の水に必要な上水料金（都道府県別）を使用しています。</t>
    <rPh sb="13" eb="18">
      <t>トドウフケンベツ</t>
    </rPh>
    <rPh sb="20" eb="22">
      <t>シヨウ</t>
    </rPh>
    <phoneticPr fontId="18"/>
  </si>
  <si>
    <t>樹木の蒸散で放出される水分と同等量をドライミスト装置により噴霧した場合の費用（電気料金、水道料金）で評価しています。</t>
    <rPh sb="0" eb="2">
      <t>ジュモク</t>
    </rPh>
    <rPh sb="3" eb="5">
      <t>ジョウサン</t>
    </rPh>
    <rPh sb="6" eb="8">
      <t>ホウシュツ</t>
    </rPh>
    <rPh sb="11" eb="13">
      <t>スイブン</t>
    </rPh>
    <rPh sb="14" eb="16">
      <t>ドウトウ</t>
    </rPh>
    <rPh sb="16" eb="17">
      <t>リョウ</t>
    </rPh>
    <rPh sb="24" eb="26">
      <t>ソウチ</t>
    </rPh>
    <rPh sb="29" eb="31">
      <t>フンム</t>
    </rPh>
    <rPh sb="33" eb="35">
      <t>バアイ</t>
    </rPh>
    <rPh sb="36" eb="38">
      <t>ヒヨウ</t>
    </rPh>
    <rPh sb="39" eb="41">
      <t>デンキ</t>
    </rPh>
    <rPh sb="41" eb="43">
      <t>リョウキン</t>
    </rPh>
    <rPh sb="44" eb="46">
      <t>スイドウ</t>
    </rPh>
    <rPh sb="46" eb="48">
      <t>リョウキン</t>
    </rPh>
    <rPh sb="50" eb="52">
      <t>ヒョウカ</t>
    </rPh>
    <phoneticPr fontId="18"/>
  </si>
  <si>
    <t>産業用電力料金の全国平均値を使用。水道料金は、蒸散では衛生的観点から上水が使われるため、上水の水道料金（全国平均値）を資料しています。</t>
    <rPh sb="0" eb="3">
      <t>サンギョウヨウ</t>
    </rPh>
    <rPh sb="3" eb="7">
      <t>デンリョクリョウキン</t>
    </rPh>
    <rPh sb="8" eb="10">
      <t>ゼンコク</t>
    </rPh>
    <rPh sb="10" eb="13">
      <t>ヘイキンチ</t>
    </rPh>
    <rPh sb="14" eb="16">
      <t>シヨウ</t>
    </rPh>
    <rPh sb="17" eb="21">
      <t>スイドウリョウキン</t>
    </rPh>
    <rPh sb="23" eb="25">
      <t>ジョウサン</t>
    </rPh>
    <rPh sb="27" eb="30">
      <t>エイセイテキ</t>
    </rPh>
    <rPh sb="30" eb="32">
      <t>カンテン</t>
    </rPh>
    <rPh sb="34" eb="36">
      <t>ジョウスイ</t>
    </rPh>
    <rPh sb="37" eb="38">
      <t>ツカ</t>
    </rPh>
    <rPh sb="44" eb="46">
      <t>ジョウスイ</t>
    </rPh>
    <rPh sb="47" eb="51">
      <t>スイドウリョウキン</t>
    </rPh>
    <rPh sb="52" eb="54">
      <t>ゼンコク</t>
    </rPh>
    <rPh sb="54" eb="57">
      <t>ヘイキンチ</t>
    </rPh>
    <rPh sb="59" eb="61">
      <t>シリョウ</t>
    </rPh>
    <phoneticPr fontId="18"/>
  </si>
  <si>
    <t>・本ツールは、植林した年や場所、樹種ごとに個別に評価します。同じ工場内で複数年にわけて植林していたり、異なる樹種を植えている場合には、それぞれの区画で個別に評価を実施して下さい。</t>
    <rPh sb="1" eb="2">
      <t>ホン</t>
    </rPh>
    <rPh sb="7" eb="9">
      <t>ショクリン</t>
    </rPh>
    <rPh sb="11" eb="12">
      <t>トシ</t>
    </rPh>
    <rPh sb="13" eb="15">
      <t>バショ</t>
    </rPh>
    <rPh sb="16" eb="18">
      <t>ジュシュ</t>
    </rPh>
    <rPh sb="21" eb="23">
      <t>コベツ</t>
    </rPh>
    <rPh sb="24" eb="26">
      <t>ヒョウカ</t>
    </rPh>
    <phoneticPr fontId="18"/>
  </si>
  <si>
    <t>・本ツールによる評価には、制限事項があります。詳細は、「評価方法の考え方・注意事項」の「評価の範囲」をご確認下さい。</t>
    <rPh sb="1" eb="2">
      <t>ホン</t>
    </rPh>
    <rPh sb="8" eb="10">
      <t>ヒョウカ</t>
    </rPh>
    <rPh sb="13" eb="15">
      <t>セイゲン</t>
    </rPh>
    <rPh sb="15" eb="17">
      <t>ジコウ</t>
    </rPh>
    <rPh sb="23" eb="25">
      <t>ショウサイ</t>
    </rPh>
    <rPh sb="44" eb="46">
      <t>ヒョウカ</t>
    </rPh>
    <rPh sb="47" eb="49">
      <t>ハンイ</t>
    </rPh>
    <rPh sb="52" eb="54">
      <t>カクニン</t>
    </rPh>
    <rPh sb="54" eb="55">
      <t>クダ</t>
    </rPh>
    <phoneticPr fontId="18"/>
  </si>
</sst>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5" formatCode="&quot;¥&quot;#,##0;&quot;¥&quot;\-#,##0"/>
    <numFmt numFmtId="176" formatCode="0.00_ "/>
    <numFmt numFmtId="177" formatCode="#,##0_ "/>
    <numFmt numFmtId="178" formatCode="0.0_ "/>
    <numFmt numFmtId="179" formatCode="0_ "/>
    <numFmt numFmtId="180" formatCode="0.000_ "/>
    <numFmt numFmtId="181" formatCode="0.00_);[Red]\(0.00\)"/>
    <numFmt numFmtId="182" formatCode="#,##0.0_ "/>
    <numFmt numFmtId="183" formatCode="&quot;¥&quot;#,##0_);[Red]\(&quot;¥&quot;#,##0\)"/>
    <numFmt numFmtId="184" formatCode="#,##0_);[Red]\(#,##0\)"/>
    <numFmt numFmtId="185" formatCode="#,##0.0"/>
    <numFmt numFmtId="186" formatCode="#,##0.00_ "/>
    <numFmt numFmtId="187" formatCode="0.000"/>
    <numFmt numFmtId="188" formatCode="0.0"/>
    <numFmt numFmtId="189" formatCode="#,##0.0;[Red]\-#,##0.0"/>
  </numFmts>
  <fonts count="82">
    <font>
      <sz val="12"/>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color rgb="FFFF0000"/>
      <name val="ＭＳ Ｐゴシック"/>
      <family val="2"/>
      <charset val="128"/>
      <scheme val="minor"/>
    </font>
    <font>
      <b/>
      <sz val="12"/>
      <color theme="1"/>
      <name val="ＭＳ Ｐゴシック"/>
      <family val="2"/>
      <charset val="128"/>
      <scheme val="minor"/>
    </font>
    <font>
      <sz val="6"/>
      <name val="ＭＳ Ｐゴシック"/>
      <family val="2"/>
      <charset val="128"/>
      <scheme val="minor"/>
    </font>
    <font>
      <u/>
      <sz val="12"/>
      <color theme="10"/>
      <name val="ＭＳ Ｐゴシック"/>
      <family val="2"/>
      <charset val="128"/>
      <scheme val="minor"/>
    </font>
    <font>
      <u/>
      <sz val="12"/>
      <color theme="11"/>
      <name val="ＭＳ Ｐゴシック"/>
      <family val="2"/>
      <charset val="128"/>
      <scheme val="minor"/>
    </font>
    <font>
      <b/>
      <sz val="16"/>
      <color theme="1"/>
      <name val="ＭＳ Ｐゴシック"/>
      <family val="3"/>
      <charset val="128"/>
      <scheme val="minor"/>
    </font>
    <font>
      <sz val="12"/>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20"/>
      <color theme="0"/>
      <name val="ＭＳ Ｐゴシック"/>
      <family val="3"/>
      <charset val="128"/>
      <scheme val="minor"/>
    </font>
    <font>
      <sz val="16"/>
      <color rgb="FFFF0000"/>
      <name val="ＭＳ Ｐゴシック"/>
      <family val="3"/>
      <charset val="128"/>
      <scheme val="minor"/>
    </font>
    <font>
      <sz val="10"/>
      <color theme="1"/>
      <name val="ＭＳ Ｐゴシック"/>
      <family val="3"/>
      <charset val="128"/>
      <scheme val="minor"/>
    </font>
    <font>
      <i/>
      <sz val="12"/>
      <color theme="1"/>
      <name val="ＭＳ Ｐゴシック"/>
      <family val="3"/>
      <charset val="128"/>
      <scheme val="minor"/>
    </font>
    <font>
      <b/>
      <sz val="18"/>
      <color rgb="FFFF0000"/>
      <name val="ＭＳ Ｐゴシック"/>
      <family val="3"/>
      <charset val="128"/>
      <scheme val="minor"/>
    </font>
    <font>
      <sz val="18"/>
      <color rgb="FFFF0000"/>
      <name val="ＭＳ Ｐゴシック"/>
      <family val="3"/>
      <charset val="128"/>
      <scheme val="minor"/>
    </font>
    <font>
      <sz val="12"/>
      <color rgb="FF0000FF"/>
      <name val="ＭＳ Ｐゴシック"/>
      <family val="3"/>
      <charset val="128"/>
      <scheme val="minor"/>
    </font>
    <font>
      <sz val="9"/>
      <color rgb="FFFF0000"/>
      <name val="ＭＳ Ｐゴシック"/>
      <family val="3"/>
      <charset val="128"/>
      <scheme val="minor"/>
    </font>
    <font>
      <sz val="20"/>
      <color theme="1"/>
      <name val="ＭＳ Ｐゴシック"/>
      <family val="3"/>
      <charset val="128"/>
      <scheme val="minor"/>
    </font>
    <font>
      <sz val="11"/>
      <color theme="1"/>
      <name val="ＭＳ Ｐゴシック"/>
      <family val="2"/>
      <charset val="128"/>
      <scheme val="minor"/>
    </font>
    <font>
      <sz val="11"/>
      <color rgb="FFFF0000"/>
      <name val="ＭＳ Ｐゴシック"/>
      <family val="2"/>
      <charset val="128"/>
      <scheme val="minor"/>
    </font>
    <font>
      <sz val="11"/>
      <name val="ＭＳ Ｐゴシック"/>
      <family val="3"/>
      <charset val="128"/>
      <scheme val="minor"/>
    </font>
    <font>
      <sz val="11"/>
      <color theme="1"/>
      <name val="ＭＳ Ｐゴシック (本文)"/>
      <charset val="128"/>
    </font>
    <font>
      <sz val="10"/>
      <color rgb="FFFF0000"/>
      <name val="ＭＳ Ｐゴシック"/>
      <family val="3"/>
      <charset val="128"/>
      <scheme val="minor"/>
    </font>
    <font>
      <sz val="20"/>
      <name val="ＭＳ Ｐゴシック"/>
      <family val="3"/>
      <charset val="128"/>
      <scheme val="minor"/>
    </font>
    <font>
      <b/>
      <sz val="15"/>
      <color theme="3"/>
      <name val="ＭＳ Ｐゴシック"/>
      <family val="2"/>
      <charset val="128"/>
      <scheme val="minor"/>
    </font>
    <font>
      <sz val="12"/>
      <color theme="0" tint="-0.499984740745262"/>
      <name val="ＭＳ Ｐゴシック"/>
      <family val="3"/>
      <charset val="128"/>
      <scheme val="minor"/>
    </font>
    <font>
      <sz val="20"/>
      <color rgb="FF000000"/>
      <name val="ＭＳ Ｐゴシック"/>
      <family val="3"/>
      <charset val="128"/>
      <scheme val="minor"/>
    </font>
    <font>
      <b/>
      <sz val="16"/>
      <color rgb="FFFF0000"/>
      <name val="ＭＳ Ｐゴシック"/>
      <family val="3"/>
      <charset val="128"/>
      <scheme val="minor"/>
    </font>
    <font>
      <u/>
      <sz val="11"/>
      <color theme="10"/>
      <name val="ＭＳ Ｐゴシック"/>
      <family val="2"/>
      <charset val="128"/>
      <scheme val="minor"/>
    </font>
    <font>
      <vertAlign val="superscript"/>
      <sz val="12"/>
      <color theme="1"/>
      <name val="ＭＳ Ｐゴシック"/>
      <family val="3"/>
      <charset val="128"/>
      <scheme val="minor"/>
    </font>
    <font>
      <vertAlign val="subscript"/>
      <sz val="12"/>
      <color theme="1"/>
      <name val="ＭＳ Ｐゴシック"/>
      <family val="3"/>
      <charset val="128"/>
      <scheme val="minor"/>
    </font>
    <font>
      <vertAlign val="subscript"/>
      <sz val="14"/>
      <color theme="1"/>
      <name val="ＭＳ Ｐゴシック"/>
      <family val="3"/>
      <charset val="128"/>
      <scheme val="minor"/>
    </font>
    <font>
      <vertAlign val="superscript"/>
      <sz val="16"/>
      <color theme="1"/>
      <name val="ＭＳ Ｐゴシック"/>
      <family val="3"/>
      <charset val="128"/>
      <scheme val="minor"/>
    </font>
    <font>
      <vertAlign val="superscript"/>
      <sz val="16"/>
      <color rgb="FFFF0000"/>
      <name val="ＭＳ Ｐゴシック"/>
      <family val="3"/>
      <charset val="128"/>
      <scheme val="minor"/>
    </font>
    <font>
      <sz val="11"/>
      <color rgb="FF000000"/>
      <name val="MS PGothic"/>
      <family val="3"/>
    </font>
    <font>
      <sz val="11"/>
      <color theme="1"/>
      <name val="ＭＳ Ｐゴシック"/>
      <family val="3"/>
      <charset val="128"/>
      <scheme val="minor"/>
    </font>
    <font>
      <u/>
      <sz val="11"/>
      <color theme="10"/>
      <name val="ＭＳ Ｐゴシック"/>
      <family val="3"/>
      <charset val="128"/>
      <scheme val="minor"/>
    </font>
    <font>
      <sz val="11"/>
      <color rgb="FFFF0000"/>
      <name val="ＭＳ Ｐゴシック"/>
      <family val="3"/>
      <charset val="128"/>
      <scheme val="minor"/>
    </font>
    <font>
      <vertAlign val="superscript"/>
      <sz val="11"/>
      <color theme="1"/>
      <name val="ＭＳ Ｐゴシック"/>
      <family val="3"/>
      <charset val="128"/>
      <scheme val="minor"/>
    </font>
    <font>
      <sz val="12"/>
      <color theme="1"/>
      <name val="ＭＳ Ｐゴシック"/>
      <family val="3"/>
      <charset val="128"/>
      <scheme val="minor"/>
    </font>
    <font>
      <sz val="12"/>
      <color rgb="FF000000"/>
      <name val="ＭＳ Ｐゴシック"/>
      <family val="3"/>
      <charset val="128"/>
    </font>
    <font>
      <sz val="12"/>
      <name val="ＭＳ Ｐゴシック"/>
      <family val="2"/>
      <charset val="128"/>
      <scheme val="minor"/>
    </font>
    <font>
      <sz val="12"/>
      <color theme="0" tint="-0.499984740745262"/>
      <name val="ＭＳ Ｐゴシック"/>
      <family val="2"/>
      <charset val="128"/>
      <scheme val="minor"/>
    </font>
    <font>
      <sz val="12"/>
      <color rgb="FFFF0000"/>
      <name val="ＭＳ Ｐゴシック"/>
      <family val="3"/>
      <charset val="128"/>
      <scheme val="minor"/>
    </font>
    <font>
      <b/>
      <sz val="12"/>
      <color theme="1"/>
      <name val="ＭＳ Ｐゴシック"/>
      <family val="3"/>
      <charset val="128"/>
      <scheme val="minor"/>
    </font>
    <font>
      <sz val="20"/>
      <color theme="1"/>
      <name val="ＭＳ Ｐゴシック"/>
      <family val="2"/>
      <charset val="128"/>
      <scheme val="minor"/>
    </font>
    <font>
      <sz val="8"/>
      <color rgb="FFFF0000"/>
      <name val="ＭＳ Ｐゴシック"/>
      <family val="3"/>
      <charset val="128"/>
      <scheme val="minor"/>
    </font>
    <font>
      <sz val="9"/>
      <color indexed="81"/>
      <name val="ＭＳ Ｐゴシック"/>
      <family val="3"/>
      <charset val="128"/>
    </font>
    <font>
      <vertAlign val="superscript"/>
      <sz val="11"/>
      <color theme="1"/>
      <name val="ＭＳ Ｐゴシック"/>
      <family val="2"/>
      <charset val="128"/>
      <scheme val="minor"/>
    </font>
    <font>
      <sz val="9"/>
      <color theme="1"/>
      <name val="ＭＳ Ｐゴシック"/>
      <family val="2"/>
      <charset val="128"/>
      <scheme val="minor"/>
    </font>
    <font>
      <vertAlign val="subscript"/>
      <sz val="11"/>
      <color theme="1"/>
      <name val="ＭＳ Ｐゴシック"/>
      <family val="3"/>
      <charset val="128"/>
      <scheme val="minor"/>
    </font>
    <font>
      <b/>
      <sz val="14"/>
      <color theme="1"/>
      <name val="ＭＳ Ｐゴシック"/>
      <family val="3"/>
      <charset val="128"/>
      <scheme val="minor"/>
    </font>
    <font>
      <sz val="9"/>
      <color theme="1"/>
      <name val="ＭＳ Ｐゴシック"/>
      <family val="3"/>
      <charset val="128"/>
      <scheme val="minor"/>
    </font>
    <font>
      <b/>
      <sz val="11"/>
      <color theme="0"/>
      <name val="ＭＳ Ｐゴシック"/>
      <family val="2"/>
      <charset val="128"/>
      <scheme val="minor"/>
    </font>
    <font>
      <b/>
      <sz val="11"/>
      <color theme="1"/>
      <name val="ＭＳ Ｐゴシック"/>
      <family val="3"/>
      <charset val="128"/>
      <scheme val="minor"/>
    </font>
    <font>
      <vertAlign val="subscript"/>
      <sz val="9"/>
      <color theme="1"/>
      <name val="ＭＳ Ｐゴシック"/>
      <family val="3"/>
      <charset val="128"/>
      <scheme val="minor"/>
    </font>
    <font>
      <vertAlign val="superscript"/>
      <sz val="9"/>
      <color theme="1"/>
      <name val="ＭＳ Ｐゴシック"/>
      <family val="3"/>
      <charset val="128"/>
      <scheme val="minor"/>
    </font>
    <font>
      <sz val="11"/>
      <color rgb="FF000000"/>
      <name val="ＭＳ Ｐゴシック"/>
      <family val="3"/>
      <charset val="128"/>
    </font>
    <font>
      <sz val="11"/>
      <color theme="1"/>
      <name val="ＭＳ 明朝"/>
      <family val="1"/>
      <charset val="128"/>
    </font>
    <font>
      <sz val="11"/>
      <name val="ＭＳ 明朝"/>
      <family val="1"/>
      <charset val="128"/>
    </font>
    <font>
      <sz val="11"/>
      <color rgb="FF000000"/>
      <name val="ＭＳ 明朝"/>
      <family val="1"/>
      <charset val="128"/>
    </font>
    <font>
      <sz val="11"/>
      <color theme="1"/>
      <name val="Century"/>
      <family val="1"/>
    </font>
    <font>
      <vertAlign val="subscript"/>
      <sz val="11"/>
      <color theme="1"/>
      <name val="Century"/>
      <family val="1"/>
    </font>
    <font>
      <sz val="11"/>
      <name val="Century"/>
      <family val="1"/>
    </font>
    <font>
      <sz val="11"/>
      <color rgb="FF000000"/>
      <name val="Century"/>
      <family val="1"/>
    </font>
    <font>
      <vertAlign val="subscript"/>
      <sz val="11"/>
      <name val="ＭＳ Ｐゴシック"/>
      <family val="3"/>
      <charset val="128"/>
      <scheme val="minor"/>
    </font>
  </fonts>
  <fills count="22">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rgb="FFF2DCDB"/>
        <bgColor rgb="FF000000"/>
      </patternFill>
    </fill>
    <fill>
      <patternFill patternType="solid">
        <fgColor rgb="FFE4DFEC"/>
        <bgColor rgb="FF000000"/>
      </patternFill>
    </fill>
    <fill>
      <patternFill patternType="solid">
        <fgColor theme="8" tint="0.79998168889431442"/>
        <bgColor indexed="64"/>
      </patternFill>
    </fill>
    <fill>
      <patternFill patternType="solid">
        <fgColor rgb="FFFFFFE5"/>
        <bgColor indexed="64"/>
      </patternFill>
    </fill>
    <fill>
      <patternFill patternType="solid">
        <fgColor rgb="FFFFFF00"/>
        <bgColor indexed="64"/>
      </patternFill>
    </fill>
    <fill>
      <patternFill patternType="solid">
        <fgColor rgb="FFFFEBFF"/>
        <bgColor indexed="64"/>
      </patternFill>
    </fill>
    <fill>
      <patternFill patternType="solid">
        <fgColor theme="0"/>
        <bgColor indexed="64"/>
      </patternFill>
    </fill>
    <fill>
      <patternFill patternType="solid">
        <fgColor rgb="FFFFE7FF"/>
        <bgColor indexed="64"/>
      </patternFill>
    </fill>
  </fills>
  <borders count="1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diagonal/>
    </border>
    <border>
      <left style="thin">
        <color auto="1"/>
      </left>
      <right style="thin">
        <color auto="1"/>
      </right>
      <top/>
      <bottom/>
      <diagonal/>
    </border>
    <border>
      <left style="thin">
        <color auto="1"/>
      </left>
      <right style="thin">
        <color auto="1"/>
      </right>
      <top style="medium">
        <color auto="1"/>
      </top>
      <bottom/>
      <diagonal/>
    </border>
    <border>
      <left style="medium">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double">
        <color auto="1"/>
      </left>
      <right/>
      <top style="double">
        <color auto="1"/>
      </top>
      <bottom/>
      <diagonal/>
    </border>
    <border>
      <left/>
      <right style="double">
        <color auto="1"/>
      </right>
      <top style="double">
        <color auto="1"/>
      </top>
      <bottom/>
      <diagonal/>
    </border>
    <border>
      <left/>
      <right/>
      <top style="double">
        <color auto="1"/>
      </top>
      <bottom/>
      <diagonal/>
    </border>
    <border>
      <left/>
      <right style="double">
        <color auto="1"/>
      </right>
      <top/>
      <bottom/>
      <diagonal/>
    </border>
    <border>
      <left style="double">
        <color auto="1"/>
      </left>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thin">
        <color auto="1"/>
      </right>
      <top style="medium">
        <color auto="1"/>
      </top>
      <bottom/>
      <diagonal/>
    </border>
    <border>
      <left style="thin">
        <color auto="1"/>
      </left>
      <right style="medium">
        <color auto="1"/>
      </right>
      <top/>
      <bottom/>
      <diagonal/>
    </border>
    <border>
      <left style="thin">
        <color auto="1"/>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style="medium">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hair">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bottom/>
      <diagonal/>
    </border>
    <border>
      <left style="hair">
        <color auto="1"/>
      </left>
      <right style="hair">
        <color auto="1"/>
      </right>
      <top/>
      <bottom/>
      <diagonal/>
    </border>
    <border>
      <left style="hair">
        <color auto="1"/>
      </left>
      <right style="medium">
        <color auto="1"/>
      </right>
      <top/>
      <bottom/>
      <diagonal/>
    </border>
    <border>
      <left style="medium">
        <color auto="1"/>
      </left>
      <right style="hair">
        <color auto="1"/>
      </right>
      <top style="medium">
        <color auto="1"/>
      </top>
      <bottom style="thin">
        <color auto="1"/>
      </bottom>
      <diagonal/>
    </border>
    <border>
      <left style="medium">
        <color auto="1"/>
      </left>
      <right style="hair">
        <color auto="1"/>
      </right>
      <top style="thin">
        <color auto="1"/>
      </top>
      <bottom style="medium">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thin">
        <color auto="1"/>
      </left>
      <right style="thin">
        <color auto="1"/>
      </right>
      <top style="thin">
        <color auto="1"/>
      </top>
      <bottom style="dotted">
        <color auto="1"/>
      </bottom>
      <diagonal/>
    </border>
    <border>
      <left style="thin">
        <color auto="1"/>
      </left>
      <right style="medium">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medium">
        <color auto="1"/>
      </right>
      <top style="dotted">
        <color auto="1"/>
      </top>
      <bottom style="thin">
        <color auto="1"/>
      </bottom>
      <diagonal/>
    </border>
    <border>
      <left style="thin">
        <color auto="1"/>
      </left>
      <right/>
      <top style="dotted">
        <color auto="1"/>
      </top>
      <bottom style="dotted">
        <color auto="1"/>
      </bottom>
      <diagonal/>
    </border>
    <border>
      <left style="thin">
        <color auto="1"/>
      </left>
      <right style="thin">
        <color auto="1"/>
      </right>
      <top style="dotted">
        <color auto="1"/>
      </top>
      <bottom style="medium">
        <color indexed="64"/>
      </bottom>
      <diagonal/>
    </border>
    <border>
      <left style="thin">
        <color auto="1"/>
      </left>
      <right/>
      <top style="dotted">
        <color auto="1"/>
      </top>
      <bottom style="medium">
        <color indexed="64"/>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dotted">
        <color auto="1"/>
      </top>
      <bottom/>
      <diagonal/>
    </border>
    <border>
      <left style="thin">
        <color auto="1"/>
      </left>
      <right style="medium">
        <color indexed="64"/>
      </right>
      <top style="dotted">
        <color auto="1"/>
      </top>
      <bottom style="medium">
        <color indexed="64"/>
      </bottom>
      <diagonal/>
    </border>
    <border>
      <left style="medium">
        <color indexed="64"/>
      </left>
      <right/>
      <top/>
      <bottom style="thin">
        <color auto="1"/>
      </bottom>
      <diagonal/>
    </border>
    <border>
      <left/>
      <right style="hair">
        <color auto="1"/>
      </right>
      <top style="medium">
        <color auto="1"/>
      </top>
      <bottom/>
      <diagonal/>
    </border>
    <border>
      <left/>
      <right style="hair">
        <color auto="1"/>
      </right>
      <top/>
      <bottom style="medium">
        <color auto="1"/>
      </bottom>
      <diagonal/>
    </border>
    <border>
      <left/>
      <right style="hair">
        <color auto="1"/>
      </right>
      <top/>
      <bottom/>
      <diagonal/>
    </border>
    <border>
      <left/>
      <right style="hair">
        <color auto="1"/>
      </right>
      <top style="medium">
        <color auto="1"/>
      </top>
      <bottom style="thin">
        <color auto="1"/>
      </bottom>
      <diagonal/>
    </border>
    <border>
      <left/>
      <right style="hair">
        <color auto="1"/>
      </right>
      <top style="thin">
        <color auto="1"/>
      </top>
      <bottom style="medium">
        <color auto="1"/>
      </bottom>
      <diagonal/>
    </border>
    <border>
      <left style="medium">
        <color auto="1"/>
      </left>
      <right/>
      <top/>
      <bottom style="medium">
        <color auto="1"/>
      </bottom>
      <diagonal/>
    </border>
    <border>
      <left/>
      <right/>
      <top/>
      <bottom style="medium">
        <color auto="1"/>
      </bottom>
      <diagonal/>
    </border>
    <border>
      <left style="hair">
        <color auto="1"/>
      </left>
      <right style="medium">
        <color auto="1"/>
      </right>
      <top/>
      <bottom style="hair">
        <color auto="1"/>
      </bottom>
      <diagonal/>
    </border>
    <border>
      <left style="hair">
        <color auto="1"/>
      </left>
      <right style="hair">
        <color auto="1"/>
      </right>
      <top/>
      <bottom style="thin">
        <color auto="1"/>
      </bottom>
      <diagonal/>
    </border>
    <border>
      <left style="hair">
        <color auto="1"/>
      </left>
      <right style="medium">
        <color auto="1"/>
      </right>
      <top style="hair">
        <color auto="1"/>
      </top>
      <bottom/>
      <diagonal/>
    </border>
    <border>
      <left style="hair">
        <color auto="1"/>
      </left>
      <right style="hair">
        <color auto="1"/>
      </right>
      <top style="thin">
        <color auto="1"/>
      </top>
      <bottom/>
      <diagonal/>
    </border>
  </borders>
  <cellStyleXfs count="279">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4" fillId="0" borderId="0">
      <alignment vertical="center"/>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44" fillId="0" borderId="0" applyNumberFormat="0" applyFill="0" applyBorder="0" applyAlignment="0" applyProtection="0">
      <alignment vertical="center"/>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5" fillId="0" borderId="0">
      <alignment vertical="center"/>
    </xf>
    <xf numFmtId="0" fontId="10" fillId="0" borderId="0">
      <alignment vertical="center"/>
    </xf>
    <xf numFmtId="0" fontId="9" fillId="0" borderId="0">
      <alignment vertical="center"/>
    </xf>
  </cellStyleXfs>
  <cellXfs count="941">
    <xf numFmtId="0" fontId="0" fillId="0" borderId="0" xfId="0"/>
    <xf numFmtId="176" fontId="0" fillId="0" borderId="0" xfId="0" applyNumberFormat="1"/>
    <xf numFmtId="0" fontId="0" fillId="0" borderId="1" xfId="0" applyBorder="1"/>
    <xf numFmtId="0" fontId="0" fillId="0" borderId="1" xfId="0" applyBorder="1" applyAlignment="1">
      <alignment vertical="center"/>
    </xf>
    <xf numFmtId="0" fontId="0" fillId="0" borderId="1" xfId="0" applyFill="1" applyBorder="1"/>
    <xf numFmtId="0" fontId="0" fillId="0" borderId="1" xfId="0" applyBorder="1" applyAlignment="1">
      <alignment horizontal="center" vertical="center"/>
    </xf>
    <xf numFmtId="0" fontId="16" fillId="0" borderId="1" xfId="0" applyFont="1" applyBorder="1"/>
    <xf numFmtId="0" fontId="0" fillId="0" borderId="1" xfId="0" applyFill="1" applyBorder="1" applyAlignment="1">
      <alignment horizontal="center" vertical="center"/>
    </xf>
    <xf numFmtId="0" fontId="17" fillId="3" borderId="1" xfId="0" applyFont="1" applyFill="1" applyBorder="1" applyAlignment="1">
      <alignment wrapText="1"/>
    </xf>
    <xf numFmtId="0" fontId="17" fillId="3" borderId="1" xfId="0" applyFont="1" applyFill="1" applyBorder="1"/>
    <xf numFmtId="0" fontId="17" fillId="4" borderId="1" xfId="0" applyFont="1" applyFill="1" applyBorder="1"/>
    <xf numFmtId="0" fontId="17" fillId="5" borderId="1" xfId="0" applyFont="1" applyFill="1" applyBorder="1"/>
    <xf numFmtId="0" fontId="0" fillId="6" borderId="2" xfId="0" applyFill="1" applyBorder="1"/>
    <xf numFmtId="0" fontId="0" fillId="0" borderId="2" xfId="0" applyBorder="1"/>
    <xf numFmtId="0" fontId="16" fillId="0" borderId="0" xfId="0" applyFont="1"/>
    <xf numFmtId="0" fontId="0" fillId="0" borderId="1" xfId="0" applyBorder="1" applyAlignment="1">
      <alignment horizontal="center" vertical="center"/>
    </xf>
    <xf numFmtId="176" fontId="22" fillId="0" borderId="1" xfId="0" applyNumberFormat="1" applyFont="1" applyBorder="1"/>
    <xf numFmtId="5" fontId="0" fillId="0" borderId="1" xfId="0" applyNumberFormat="1" applyBorder="1"/>
    <xf numFmtId="0" fontId="0" fillId="0" borderId="8" xfId="0" applyFill="1" applyBorder="1"/>
    <xf numFmtId="0" fontId="0" fillId="0" borderId="8" xfId="0" applyBorder="1"/>
    <xf numFmtId="0" fontId="0" fillId="0" borderId="9" xfId="0" applyFill="1" applyBorder="1"/>
    <xf numFmtId="0" fontId="0" fillId="0" borderId="9" xfId="0" applyBorder="1"/>
    <xf numFmtId="0" fontId="0" fillId="0" borderId="15" xfId="0" applyBorder="1"/>
    <xf numFmtId="176" fontId="0" fillId="0" borderId="8" xfId="0" applyNumberFormat="1" applyBorder="1"/>
    <xf numFmtId="0" fontId="0" fillId="0" borderId="17" xfId="0" applyBorder="1"/>
    <xf numFmtId="0" fontId="0" fillId="0" borderId="0" xfId="0" applyBorder="1" applyAlignment="1">
      <alignment vertical="center"/>
    </xf>
    <xf numFmtId="0" fontId="0" fillId="0" borderId="0" xfId="0" applyBorder="1"/>
    <xf numFmtId="0" fontId="0" fillId="6" borderId="18" xfId="0"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16" fillId="0" borderId="11" xfId="0" applyFont="1" applyBorder="1"/>
    <xf numFmtId="3" fontId="16" fillId="0" borderId="11" xfId="0" applyNumberFormat="1" applyFont="1" applyBorder="1"/>
    <xf numFmtId="0" fontId="16" fillId="0" borderId="12" xfId="0" applyFont="1" applyBorder="1"/>
    <xf numFmtId="0" fontId="16" fillId="0" borderId="12" xfId="0" applyFont="1" applyFill="1" applyBorder="1"/>
    <xf numFmtId="0" fontId="22" fillId="0" borderId="0" xfId="0" applyFont="1"/>
    <xf numFmtId="0" fontId="22" fillId="0" borderId="1" xfId="0" applyFont="1" applyBorder="1" applyAlignment="1">
      <alignment horizontal="center"/>
    </xf>
    <xf numFmtId="0" fontId="22" fillId="0" borderId="1" xfId="0" applyFont="1" applyBorder="1"/>
    <xf numFmtId="0" fontId="0" fillId="6" borderId="1" xfId="0" applyFill="1" applyBorder="1"/>
    <xf numFmtId="177" fontId="16" fillId="0" borderId="1" xfId="0" applyNumberFormat="1" applyFont="1" applyBorder="1"/>
    <xf numFmtId="3" fontId="16" fillId="0" borderId="1" xfId="0" applyNumberFormat="1" applyFont="1" applyBorder="1"/>
    <xf numFmtId="0" fontId="0" fillId="0" borderId="0" xfId="0" applyAlignment="1"/>
    <xf numFmtId="0" fontId="0" fillId="0" borderId="0" xfId="0" quotePrefix="1"/>
    <xf numFmtId="0" fontId="0" fillId="0" borderId="11" xfId="0" applyBorder="1"/>
    <xf numFmtId="0" fontId="0" fillId="0" borderId="0" xfId="0" applyFill="1" applyBorder="1" applyAlignment="1">
      <alignment horizontal="center"/>
    </xf>
    <xf numFmtId="0" fontId="0" fillId="0" borderId="13" xfId="0" applyBorder="1"/>
    <xf numFmtId="0" fontId="0" fillId="0" borderId="24" xfId="0" applyBorder="1"/>
    <xf numFmtId="0" fontId="0" fillId="7" borderId="17" xfId="0" applyFill="1" applyBorder="1" applyAlignment="1">
      <alignment horizontal="right"/>
    </xf>
    <xf numFmtId="0" fontId="0" fillId="7" borderId="17" xfId="0" applyFill="1" applyBorder="1" applyAlignment="1">
      <alignment horizontal="center"/>
    </xf>
    <xf numFmtId="0" fontId="0" fillId="7" borderId="9" xfId="0" applyFill="1" applyBorder="1" applyAlignment="1">
      <alignment horizontal="right"/>
    </xf>
    <xf numFmtId="0" fontId="0" fillId="7" borderId="12" xfId="0" applyFill="1" applyBorder="1" applyAlignment="1">
      <alignment horizontal="center"/>
    </xf>
    <xf numFmtId="0" fontId="0" fillId="2" borderId="0" xfId="0" applyFill="1" applyAlignment="1">
      <alignment horizontal="center"/>
    </xf>
    <xf numFmtId="0" fontId="19" fillId="0" borderId="0" xfId="87"/>
    <xf numFmtId="0" fontId="0" fillId="0" borderId="0" xfId="0" applyFill="1"/>
    <xf numFmtId="0" fontId="0" fillId="0" borderId="0" xfId="0" applyFill="1" applyAlignment="1">
      <alignment horizontal="center"/>
    </xf>
    <xf numFmtId="0" fontId="0" fillId="2" borderId="0" xfId="0" applyFill="1"/>
    <xf numFmtId="0" fontId="0" fillId="2" borderId="0" xfId="0" applyFill="1" applyBorder="1" applyAlignment="1">
      <alignment horizontal="center"/>
    </xf>
    <xf numFmtId="0" fontId="0" fillId="2" borderId="0" xfId="0" applyFill="1" applyBorder="1" applyAlignment="1">
      <alignment horizontal="right"/>
    </xf>
    <xf numFmtId="0" fontId="0" fillId="0" borderId="33" xfId="0" applyFill="1" applyBorder="1"/>
    <xf numFmtId="0" fontId="0" fillId="0" borderId="35" xfId="0" applyFill="1" applyBorder="1"/>
    <xf numFmtId="0" fontId="0" fillId="0" borderId="34" xfId="0" applyFill="1" applyBorder="1"/>
    <xf numFmtId="0" fontId="16" fillId="0" borderId="36" xfId="0" applyFont="1" applyBorder="1" applyAlignment="1">
      <alignment horizontal="left"/>
    </xf>
    <xf numFmtId="0" fontId="0" fillId="0" borderId="36" xfId="0" applyFont="1" applyBorder="1"/>
    <xf numFmtId="0" fontId="0" fillId="0" borderId="36" xfId="0" applyFont="1" applyBorder="1" applyAlignment="1">
      <alignment horizontal="left" vertical="center"/>
    </xf>
    <xf numFmtId="0" fontId="0" fillId="0" borderId="37" xfId="0" applyBorder="1"/>
    <xf numFmtId="0" fontId="0" fillId="0" borderId="38" xfId="0" applyBorder="1"/>
    <xf numFmtId="0" fontId="24" fillId="0" borderId="39" xfId="0" applyFont="1" applyFill="1" applyBorder="1" applyAlignment="1">
      <alignment horizontal="center" vertical="center"/>
    </xf>
    <xf numFmtId="0" fontId="24" fillId="0" borderId="39" xfId="0" applyFont="1" applyFill="1" applyBorder="1" applyAlignment="1">
      <alignment horizontal="left" vertical="center"/>
    </xf>
    <xf numFmtId="0" fontId="0" fillId="0" borderId="40" xfId="0" applyFont="1" applyFill="1" applyBorder="1" applyAlignment="1">
      <alignment horizontal="left" vertical="center"/>
    </xf>
    <xf numFmtId="0" fontId="0" fillId="0" borderId="36" xfId="0" applyBorder="1"/>
    <xf numFmtId="0" fontId="0" fillId="0" borderId="36" xfId="0" applyFill="1" applyBorder="1" applyAlignment="1">
      <alignment horizontal="center"/>
    </xf>
    <xf numFmtId="0" fontId="0" fillId="0" borderId="36" xfId="0" applyFill="1" applyBorder="1" applyAlignment="1">
      <alignment horizontal="right"/>
    </xf>
    <xf numFmtId="0" fontId="0" fillId="0" borderId="39" xfId="0" applyFill="1" applyBorder="1"/>
    <xf numFmtId="0" fontId="25" fillId="2" borderId="0" xfId="0" applyFont="1" applyFill="1" applyAlignment="1">
      <alignment horizontal="center"/>
    </xf>
    <xf numFmtId="0" fontId="0" fillId="0" borderId="0" xfId="0" applyFill="1" applyBorder="1" applyAlignment="1"/>
    <xf numFmtId="0" fontId="27" fillId="2" borderId="0" xfId="0" applyFont="1" applyFill="1" applyAlignment="1">
      <alignment horizontal="right"/>
    </xf>
    <xf numFmtId="0" fontId="27" fillId="2" borderId="0" xfId="0" applyFont="1" applyFill="1" applyAlignment="1"/>
    <xf numFmtId="0" fontId="28" fillId="0" borderId="0" xfId="0" applyFont="1" applyFill="1"/>
    <xf numFmtId="0" fontId="28" fillId="0" borderId="0" xfId="0" applyFont="1"/>
    <xf numFmtId="31" fontId="27" fillId="2" borderId="0" xfId="0" applyNumberFormat="1" applyFont="1" applyFill="1" applyAlignment="1">
      <alignment horizontal="right"/>
    </xf>
    <xf numFmtId="0" fontId="27" fillId="2" borderId="0" xfId="0" applyFont="1" applyFill="1" applyAlignment="1">
      <alignment horizontal="right"/>
    </xf>
    <xf numFmtId="0" fontId="0" fillId="0" borderId="0" xfId="0" applyAlignment="1">
      <alignment horizontal="center"/>
    </xf>
    <xf numFmtId="0" fontId="0" fillId="0" borderId="0" xfId="0" applyAlignment="1">
      <alignment horizontal="center" vertical="center"/>
    </xf>
    <xf numFmtId="0" fontId="0" fillId="0" borderId="38" xfId="0" applyFill="1" applyBorder="1"/>
    <xf numFmtId="0" fontId="0" fillId="0" borderId="39" xfId="0" applyFill="1" applyBorder="1" applyAlignment="1">
      <alignment horizontal="center" vertical="center"/>
    </xf>
    <xf numFmtId="0" fontId="0" fillId="0" borderId="39" xfId="0" applyFill="1" applyBorder="1" applyAlignment="1">
      <alignment horizontal="center"/>
    </xf>
    <xf numFmtId="0" fontId="0" fillId="0" borderId="40" xfId="0" applyFill="1" applyBorder="1" applyAlignment="1">
      <alignment horizontal="center"/>
    </xf>
    <xf numFmtId="31" fontId="27" fillId="2" borderId="0" xfId="0" quotePrefix="1" applyNumberFormat="1" applyFont="1" applyFill="1" applyAlignment="1">
      <alignment horizontal="right"/>
    </xf>
    <xf numFmtId="0" fontId="0" fillId="2" borderId="0" xfId="0" applyFill="1" applyAlignment="1">
      <alignment horizontal="center" vertical="center"/>
    </xf>
    <xf numFmtId="0" fontId="0" fillId="2" borderId="0" xfId="0" applyFill="1" applyAlignment="1">
      <alignment horizontal="center" vertical="center" wrapText="1"/>
    </xf>
    <xf numFmtId="0" fontId="0" fillId="0" borderId="0" xfId="0" applyFill="1" applyBorder="1"/>
    <xf numFmtId="0" fontId="17" fillId="0" borderId="1" xfId="0" applyFont="1" applyFill="1" applyBorder="1" applyAlignment="1">
      <alignment horizontal="center" vertical="center" wrapText="1"/>
    </xf>
    <xf numFmtId="0" fontId="0" fillId="0" borderId="47" xfId="0" applyBorder="1" applyAlignment="1">
      <alignment vertical="center"/>
    </xf>
    <xf numFmtId="0" fontId="0" fillId="7" borderId="3" xfId="0" applyFill="1" applyBorder="1" applyAlignment="1">
      <alignment horizontal="center" vertical="center"/>
    </xf>
    <xf numFmtId="0" fontId="30" fillId="0" borderId="47" xfId="0" applyFont="1" applyFill="1" applyBorder="1" applyAlignment="1">
      <alignment horizontal="center"/>
    </xf>
    <xf numFmtId="179" fontId="23" fillId="0" borderId="0" xfId="0" applyNumberFormat="1" applyFont="1" applyAlignment="1">
      <alignment vertical="center"/>
    </xf>
    <xf numFmtId="180" fontId="0" fillId="0" borderId="0" xfId="0" applyNumberFormat="1" applyAlignment="1">
      <alignment vertical="center"/>
    </xf>
    <xf numFmtId="176" fontId="0" fillId="0" borderId="0" xfId="0" applyNumberFormat="1" applyAlignment="1">
      <alignment vertical="center"/>
    </xf>
    <xf numFmtId="179" fontId="0" fillId="0" borderId="0" xfId="0" applyNumberFormat="1" applyAlignment="1">
      <alignment vertical="center"/>
    </xf>
    <xf numFmtId="180" fontId="0" fillId="7" borderId="53" xfId="0" applyNumberFormat="1" applyFill="1" applyBorder="1" applyAlignment="1">
      <alignment horizontal="center" vertical="center"/>
    </xf>
    <xf numFmtId="176" fontId="0" fillId="7" borderId="54" xfId="0" applyNumberFormat="1" applyFill="1" applyBorder="1" applyAlignment="1">
      <alignment horizontal="center" vertical="center"/>
    </xf>
    <xf numFmtId="179" fontId="0" fillId="0" borderId="52" xfId="0" applyNumberFormat="1" applyFill="1" applyBorder="1" applyAlignment="1">
      <alignment horizontal="center" vertical="center"/>
    </xf>
    <xf numFmtId="180" fontId="0" fillId="0" borderId="53" xfId="0" applyNumberFormat="1" applyFill="1" applyBorder="1" applyAlignment="1">
      <alignment horizontal="center" vertical="center"/>
    </xf>
    <xf numFmtId="180" fontId="0" fillId="0" borderId="53" xfId="0" applyNumberFormat="1" applyFill="1" applyBorder="1" applyAlignment="1">
      <alignment vertical="center"/>
    </xf>
    <xf numFmtId="176" fontId="0" fillId="0" borderId="54" xfId="0" applyNumberFormat="1" applyFill="1" applyBorder="1" applyAlignment="1">
      <alignment vertical="center"/>
    </xf>
    <xf numFmtId="181" fontId="0" fillId="0" borderId="0" xfId="0" applyNumberFormat="1" applyAlignment="1">
      <alignment vertical="center"/>
    </xf>
    <xf numFmtId="181" fontId="0" fillId="0" borderId="0" xfId="0" applyNumberFormat="1" applyBorder="1" applyAlignment="1">
      <alignment vertical="center"/>
    </xf>
    <xf numFmtId="180" fontId="0" fillId="0" borderId="0" xfId="0" applyNumberFormat="1" applyAlignment="1">
      <alignment vertical="center" wrapText="1"/>
    </xf>
    <xf numFmtId="181" fontId="0" fillId="0" borderId="53" xfId="0" applyNumberFormat="1" applyFill="1" applyBorder="1" applyAlignment="1">
      <alignment horizontal="center" vertical="center"/>
    </xf>
    <xf numFmtId="180" fontId="0" fillId="0" borderId="0" xfId="0" applyNumberFormat="1" applyBorder="1" applyAlignment="1">
      <alignment vertical="center"/>
    </xf>
    <xf numFmtId="179" fontId="0" fillId="0" borderId="52" xfId="0" applyNumberFormat="1" applyBorder="1" applyAlignment="1">
      <alignment horizontal="center" vertical="center"/>
    </xf>
    <xf numFmtId="180" fontId="0" fillId="0" borderId="53" xfId="0" applyNumberFormat="1" applyBorder="1" applyAlignment="1">
      <alignment horizontal="center" vertical="center"/>
    </xf>
    <xf numFmtId="180" fontId="0" fillId="0" borderId="53" xfId="0" applyNumberFormat="1" applyBorder="1" applyAlignment="1">
      <alignment vertical="center"/>
    </xf>
    <xf numFmtId="176" fontId="0" fillId="0" borderId="54" xfId="0" applyNumberFormat="1" applyBorder="1" applyAlignment="1">
      <alignment vertical="center"/>
    </xf>
    <xf numFmtId="179" fontId="0" fillId="0" borderId="55" xfId="0" applyNumberFormat="1" applyBorder="1" applyAlignment="1">
      <alignment horizontal="center" vertical="center"/>
    </xf>
    <xf numFmtId="180" fontId="0" fillId="0" borderId="56" xfId="0" applyNumberFormat="1" applyBorder="1" applyAlignment="1">
      <alignment horizontal="center" vertical="center"/>
    </xf>
    <xf numFmtId="180" fontId="0" fillId="0" borderId="56" xfId="0" applyNumberFormat="1" applyBorder="1" applyAlignment="1">
      <alignment vertical="center"/>
    </xf>
    <xf numFmtId="176" fontId="0" fillId="0" borderId="57" xfId="0" applyNumberFormat="1" applyBorder="1" applyAlignment="1">
      <alignment vertical="center"/>
    </xf>
    <xf numFmtId="0" fontId="0" fillId="0" borderId="0" xfId="0" applyFont="1"/>
    <xf numFmtId="0" fontId="0" fillId="0" borderId="1" xfId="0" applyBorder="1" applyAlignment="1">
      <alignment horizontal="center" vertical="center"/>
    </xf>
    <xf numFmtId="0" fontId="0" fillId="0" borderId="1" xfId="0" applyBorder="1" applyAlignment="1">
      <alignment horizontal="center"/>
    </xf>
    <xf numFmtId="0" fontId="0" fillId="0" borderId="0" xfId="0" applyBorder="1" applyAlignment="1"/>
    <xf numFmtId="0" fontId="30" fillId="0" borderId="0" xfId="0" applyFont="1" applyFill="1" applyBorder="1" applyAlignment="1">
      <alignment horizontal="center"/>
    </xf>
    <xf numFmtId="0" fontId="0" fillId="0" borderId="1" xfId="0" applyBorder="1" applyAlignment="1"/>
    <xf numFmtId="0" fontId="0" fillId="0" borderId="4" xfId="0" applyBorder="1" applyAlignment="1">
      <alignment horizontal="right"/>
    </xf>
    <xf numFmtId="0" fontId="0" fillId="0" borderId="6" xfId="0" applyBorder="1"/>
    <xf numFmtId="0" fontId="0" fillId="0" borderId="5" xfId="0" applyBorder="1" applyAlignment="1">
      <alignment horizontal="center"/>
    </xf>
    <xf numFmtId="0" fontId="0" fillId="0" borderId="6" xfId="0" applyBorder="1" applyAlignment="1">
      <alignment horizontal="right"/>
    </xf>
    <xf numFmtId="0" fontId="0" fillId="0" borderId="36" xfId="0" applyFont="1" applyFill="1" applyBorder="1" applyAlignment="1">
      <alignment horizontal="left" vertical="center"/>
    </xf>
    <xf numFmtId="0" fontId="0" fillId="0" borderId="0" xfId="0" applyBorder="1" applyAlignment="1">
      <alignment horizontal="center" vertical="center"/>
    </xf>
    <xf numFmtId="0" fontId="0" fillId="0" borderId="0" xfId="0" applyFill="1" applyBorder="1" applyAlignment="1">
      <alignment horizontal="right"/>
    </xf>
    <xf numFmtId="0" fontId="0" fillId="0" borderId="0" xfId="0" applyBorder="1" applyAlignment="1">
      <alignment horizontal="left" vertical="center"/>
    </xf>
    <xf numFmtId="0" fontId="27" fillId="2" borderId="0" xfId="0" applyFont="1" applyFill="1" applyAlignment="1">
      <alignment horizontal="left"/>
    </xf>
    <xf numFmtId="0" fontId="0" fillId="12" borderId="0" xfId="0" applyFill="1" applyAlignment="1">
      <alignment horizontal="left"/>
    </xf>
    <xf numFmtId="180" fontId="0" fillId="0" borderId="0" xfId="0" applyNumberFormat="1" applyFill="1" applyBorder="1" applyAlignment="1">
      <alignment horizontal="center" vertical="center"/>
    </xf>
    <xf numFmtId="181" fontId="0" fillId="0" borderId="0" xfId="0" applyNumberFormat="1" applyFill="1" applyBorder="1" applyAlignment="1">
      <alignment horizontal="center" vertical="center"/>
    </xf>
    <xf numFmtId="180" fontId="0" fillId="0" borderId="0" xfId="0" applyNumberFormat="1" applyBorder="1" applyAlignment="1">
      <alignment horizontal="center" vertical="center"/>
    </xf>
    <xf numFmtId="0" fontId="0" fillId="12" borderId="0" xfId="0" applyFill="1"/>
    <xf numFmtId="0" fontId="32" fillId="0" borderId="0" xfId="0" applyFont="1" applyFill="1" applyBorder="1" applyAlignment="1"/>
    <xf numFmtId="0" fontId="32" fillId="0" borderId="0" xfId="0" applyFont="1" applyFill="1" applyBorder="1" applyAlignment="1">
      <alignment horizontal="left"/>
    </xf>
    <xf numFmtId="0" fontId="0" fillId="0" borderId="1" xfId="0" applyFill="1" applyBorder="1" applyAlignment="1">
      <alignment horizontal="center" vertical="center"/>
    </xf>
    <xf numFmtId="0" fontId="0" fillId="0" borderId="0" xfId="0" applyFill="1" applyBorder="1" applyAlignment="1">
      <alignment vertical="center"/>
    </xf>
    <xf numFmtId="0" fontId="0" fillId="0" borderId="0" xfId="0" applyAlignment="1">
      <alignment vertical="center"/>
    </xf>
    <xf numFmtId="176" fontId="0" fillId="0" borderId="1" xfId="0" applyNumberFormat="1" applyBorder="1" applyAlignment="1">
      <alignment horizontal="center" vertical="center"/>
    </xf>
    <xf numFmtId="176" fontId="0" fillId="0" borderId="1" xfId="0" applyNumberFormat="1" applyFill="1" applyBorder="1" applyAlignment="1">
      <alignment horizontal="center" vertical="center"/>
    </xf>
    <xf numFmtId="176" fontId="0" fillId="0" borderId="1" xfId="0" applyNumberFormat="1" applyBorder="1"/>
    <xf numFmtId="178" fontId="31" fillId="0" borderId="6" xfId="0" applyNumberFormat="1" applyFont="1" applyBorder="1" applyAlignment="1">
      <alignment horizontal="right"/>
    </xf>
    <xf numFmtId="0" fontId="0" fillId="9" borderId="1" xfId="0" applyFill="1" applyBorder="1" applyAlignment="1">
      <alignment horizontal="center" wrapText="1"/>
    </xf>
    <xf numFmtId="0" fontId="0" fillId="9" borderId="1" xfId="0" applyFill="1" applyBorder="1" applyAlignment="1">
      <alignment horizontal="center" vertical="center" wrapText="1"/>
    </xf>
    <xf numFmtId="176" fontId="0" fillId="9" borderId="1" xfId="0" applyNumberFormat="1" applyFill="1" applyBorder="1"/>
    <xf numFmtId="178" fontId="0" fillId="9" borderId="1" xfId="0" applyNumberFormat="1" applyFill="1" applyBorder="1"/>
    <xf numFmtId="183" fontId="16" fillId="9" borderId="1" xfId="0" quotePrefix="1" applyNumberFormat="1" applyFont="1" applyFill="1" applyBorder="1"/>
    <xf numFmtId="0" fontId="0" fillId="7" borderId="1" xfId="0" applyFill="1" applyBorder="1" applyAlignment="1">
      <alignment horizontal="center" wrapText="1"/>
    </xf>
    <xf numFmtId="0" fontId="0" fillId="7" borderId="1" xfId="0" applyFill="1" applyBorder="1" applyAlignment="1">
      <alignment horizontal="center" vertical="center" wrapText="1"/>
    </xf>
    <xf numFmtId="176" fontId="0" fillId="7" borderId="1" xfId="0" applyNumberFormat="1" applyFill="1" applyBorder="1"/>
    <xf numFmtId="178" fontId="0" fillId="7" borderId="1" xfId="0" applyNumberFormat="1" applyFill="1" applyBorder="1"/>
    <xf numFmtId="183" fontId="16" fillId="7" borderId="1" xfId="0" quotePrefix="1" applyNumberFormat="1" applyFont="1" applyFill="1" applyBorder="1"/>
    <xf numFmtId="0" fontId="34" fillId="0" borderId="0" xfId="194">
      <alignment vertical="center"/>
    </xf>
    <xf numFmtId="0" fontId="34" fillId="0" borderId="1" xfId="194" applyBorder="1">
      <alignment vertical="center"/>
    </xf>
    <xf numFmtId="0" fontId="34" fillId="0" borderId="1" xfId="194" applyBorder="1" applyAlignment="1">
      <alignment vertical="center" wrapText="1"/>
    </xf>
    <xf numFmtId="0" fontId="34" fillId="0" borderId="0" xfId="194" applyFill="1" applyBorder="1">
      <alignment vertical="center"/>
    </xf>
    <xf numFmtId="0" fontId="35" fillId="0" borderId="0" xfId="194" applyFont="1" applyFill="1" applyBorder="1">
      <alignment vertical="center"/>
    </xf>
    <xf numFmtId="0" fontId="36" fillId="0" borderId="1" xfId="194" applyFont="1" applyBorder="1">
      <alignment vertical="center"/>
    </xf>
    <xf numFmtId="0" fontId="36" fillId="0" borderId="1" xfId="194" applyFont="1" applyFill="1" applyBorder="1">
      <alignment vertical="center"/>
    </xf>
    <xf numFmtId="0" fontId="36" fillId="0" borderId="1" xfId="194" applyFont="1" applyFill="1" applyBorder="1" applyAlignment="1">
      <alignment vertical="center" wrapText="1"/>
    </xf>
    <xf numFmtId="177" fontId="36" fillId="0" borderId="1" xfId="194" applyNumberFormat="1" applyFont="1" applyBorder="1">
      <alignment vertical="center"/>
    </xf>
    <xf numFmtId="0" fontId="37" fillId="0" borderId="1" xfId="194" applyFont="1" applyBorder="1" applyAlignment="1">
      <alignment vertical="center" wrapText="1"/>
    </xf>
    <xf numFmtId="0" fontId="37" fillId="0" borderId="1" xfId="194" applyFont="1" applyBorder="1">
      <alignment vertical="center"/>
    </xf>
    <xf numFmtId="0" fontId="37" fillId="13" borderId="1" xfId="194" applyFont="1" applyFill="1" applyBorder="1">
      <alignment vertical="center"/>
    </xf>
    <xf numFmtId="0" fontId="36" fillId="0" borderId="0" xfId="0" applyFont="1" applyFill="1" applyBorder="1" applyAlignment="1">
      <alignment vertical="center" wrapText="1"/>
    </xf>
    <xf numFmtId="0" fontId="34" fillId="0" borderId="1" xfId="194" applyBorder="1" applyAlignment="1">
      <alignment horizontal="center" vertical="center"/>
    </xf>
    <xf numFmtId="0" fontId="36" fillId="0" borderId="1" xfId="194" applyFont="1" applyBorder="1" applyAlignment="1">
      <alignment horizontal="center" vertical="center"/>
    </xf>
    <xf numFmtId="0" fontId="32" fillId="0" borderId="0" xfId="0" applyFont="1" applyBorder="1" applyAlignment="1">
      <alignment horizontal="left" vertical="center"/>
    </xf>
    <xf numFmtId="0" fontId="30" fillId="0" borderId="1" xfId="0" applyFont="1" applyFill="1" applyBorder="1" applyAlignment="1">
      <alignment horizontal="center"/>
    </xf>
    <xf numFmtId="177" fontId="34" fillId="0" borderId="0" xfId="194" applyNumberFormat="1">
      <alignment vertical="center"/>
    </xf>
    <xf numFmtId="0" fontId="34" fillId="0" borderId="0" xfId="194" applyNumberFormat="1">
      <alignment vertical="center"/>
    </xf>
    <xf numFmtId="0" fontId="0" fillId="0" borderId="1" xfId="0" applyFill="1" applyBorder="1" applyAlignment="1">
      <alignment horizontal="center"/>
    </xf>
    <xf numFmtId="0" fontId="35" fillId="0" borderId="0" xfId="194" applyFont="1">
      <alignment vertical="center"/>
    </xf>
    <xf numFmtId="0" fontId="33" fillId="0" borderId="0" xfId="194" applyFont="1" applyFill="1" applyBorder="1" applyAlignment="1">
      <alignment horizontal="center" vertical="center"/>
    </xf>
    <xf numFmtId="0" fontId="34" fillId="0" borderId="0" xfId="194" applyFont="1" applyFill="1" applyBorder="1" applyAlignment="1">
      <alignment horizontal="center" vertical="center"/>
    </xf>
    <xf numFmtId="0" fontId="35" fillId="0" borderId="1" xfId="194" applyFont="1" applyBorder="1">
      <alignment vertical="center"/>
    </xf>
    <xf numFmtId="0" fontId="34" fillId="0" borderId="1" xfId="194" applyFont="1" applyFill="1" applyBorder="1" applyAlignment="1">
      <alignment horizontal="left" vertical="center"/>
    </xf>
    <xf numFmtId="0" fontId="35" fillId="0" borderId="1" xfId="194" applyFont="1" applyFill="1" applyBorder="1" applyAlignment="1">
      <alignment horizontal="left" vertical="center"/>
    </xf>
    <xf numFmtId="0" fontId="34" fillId="0" borderId="1" xfId="194" applyFont="1" applyBorder="1">
      <alignment vertical="center"/>
    </xf>
    <xf numFmtId="0" fontId="34" fillId="0" borderId="0" xfId="194" applyFont="1">
      <alignment vertical="center"/>
    </xf>
    <xf numFmtId="0" fontId="34" fillId="0" borderId="1" xfId="194" applyFont="1" applyBorder="1" applyAlignment="1">
      <alignment horizontal="center" vertical="center"/>
    </xf>
    <xf numFmtId="0" fontId="34" fillId="0" borderId="0" xfId="194" applyFont="1" applyFill="1" applyBorder="1">
      <alignment vertical="center"/>
    </xf>
    <xf numFmtId="0" fontId="34" fillId="0" borderId="0" xfId="194" applyFont="1" applyBorder="1">
      <alignment vertical="center"/>
    </xf>
    <xf numFmtId="177" fontId="34" fillId="0" borderId="1" xfId="194" applyNumberFormat="1" applyFont="1" applyBorder="1">
      <alignment vertical="center"/>
    </xf>
    <xf numFmtId="177" fontId="34" fillId="0" borderId="0" xfId="194" applyNumberFormat="1" applyFont="1">
      <alignment vertical="center"/>
    </xf>
    <xf numFmtId="0" fontId="34" fillId="0" borderId="0" xfId="194" applyNumberFormat="1" applyFont="1">
      <alignment vertical="center"/>
    </xf>
    <xf numFmtId="0" fontId="34" fillId="0" borderId="1" xfId="194" applyFont="1" applyFill="1" applyBorder="1">
      <alignment vertical="center"/>
    </xf>
    <xf numFmtId="0" fontId="0" fillId="0" borderId="1" xfId="0" applyBorder="1" applyAlignment="1">
      <alignment horizontal="center" vertical="center"/>
    </xf>
    <xf numFmtId="184" fontId="35" fillId="0" borderId="1" xfId="194" applyNumberFormat="1" applyFont="1" applyBorder="1">
      <alignment vertical="center"/>
    </xf>
    <xf numFmtId="184" fontId="35" fillId="0" borderId="1" xfId="194" applyNumberFormat="1" applyFont="1" applyFill="1" applyBorder="1" applyAlignment="1">
      <alignment horizontal="right" vertical="center"/>
    </xf>
    <xf numFmtId="178" fontId="34" fillId="0" borderId="1" xfId="194" applyNumberFormat="1" applyFont="1" applyBorder="1">
      <alignment vertical="center"/>
    </xf>
    <xf numFmtId="178" fontId="35" fillId="0" borderId="1" xfId="194" applyNumberFormat="1" applyFont="1" applyBorder="1">
      <alignment vertical="center"/>
    </xf>
    <xf numFmtId="0" fontId="16" fillId="0" borderId="1" xfId="0" applyFont="1" applyBorder="1" applyAlignment="1">
      <alignment vertical="center"/>
    </xf>
    <xf numFmtId="0" fontId="34" fillId="0" borderId="0" xfId="194" applyBorder="1">
      <alignment vertical="center"/>
    </xf>
    <xf numFmtId="177" fontId="36" fillId="0" borderId="1" xfId="194" applyNumberFormat="1" applyFont="1" applyFill="1" applyBorder="1">
      <alignment vertical="center"/>
    </xf>
    <xf numFmtId="0" fontId="34" fillId="0" borderId="0" xfId="194" applyBorder="1" applyAlignment="1">
      <alignment vertical="center"/>
    </xf>
    <xf numFmtId="0" fontId="43" fillId="0" borderId="0" xfId="194" applyFont="1" applyFill="1" applyBorder="1" applyAlignment="1">
      <alignment vertical="center"/>
    </xf>
    <xf numFmtId="0" fontId="34" fillId="0" borderId="0" xfId="194" applyAlignment="1">
      <alignment vertical="center"/>
    </xf>
    <xf numFmtId="0" fontId="43" fillId="0" borderId="0" xfId="194" applyFont="1" applyFill="1" applyBorder="1" applyAlignment="1">
      <alignment horizontal="center" vertical="center"/>
    </xf>
    <xf numFmtId="0" fontId="34" fillId="11" borderId="1" xfId="194" applyFill="1" applyBorder="1" applyAlignment="1">
      <alignment horizontal="left" vertical="center"/>
    </xf>
    <xf numFmtId="0" fontId="34" fillId="11" borderId="1" xfId="194" applyFill="1" applyBorder="1" applyAlignment="1">
      <alignment horizontal="center" vertical="center"/>
    </xf>
    <xf numFmtId="0" fontId="34" fillId="0" borderId="1" xfId="194" applyBorder="1" applyAlignment="1">
      <alignment vertical="center"/>
    </xf>
    <xf numFmtId="0" fontId="34" fillId="0" borderId="0" xfId="194" applyBorder="1" applyAlignment="1">
      <alignment horizontal="center" vertical="center"/>
    </xf>
    <xf numFmtId="0" fontId="34" fillId="6" borderId="1" xfId="194" applyFill="1" applyBorder="1" applyAlignment="1">
      <alignment horizontal="center" vertical="center"/>
    </xf>
    <xf numFmtId="0" fontId="34" fillId="0" borderId="1" xfId="194" applyFill="1" applyBorder="1" applyAlignment="1">
      <alignment horizontal="center" vertical="center"/>
    </xf>
    <xf numFmtId="0" fontId="34" fillId="0" borderId="1" xfId="194" applyFill="1" applyBorder="1" applyAlignment="1">
      <alignment vertical="center"/>
    </xf>
    <xf numFmtId="0" fontId="34" fillId="16" borderId="1" xfId="194" applyFill="1" applyBorder="1" applyAlignment="1">
      <alignment horizontal="center" vertical="center"/>
    </xf>
    <xf numFmtId="0" fontId="34" fillId="6" borderId="1" xfId="194" applyFill="1" applyBorder="1" applyAlignment="1">
      <alignment horizontal="center" vertical="center" wrapText="1"/>
    </xf>
    <xf numFmtId="0" fontId="34" fillId="0" borderId="0" xfId="194" applyFill="1" applyBorder="1" applyAlignment="1">
      <alignment vertical="center"/>
    </xf>
    <xf numFmtId="0" fontId="44" fillId="0" borderId="0" xfId="262" applyBorder="1" applyAlignment="1">
      <alignment horizontal="center" vertical="center" wrapText="1"/>
    </xf>
    <xf numFmtId="0" fontId="44" fillId="0" borderId="0" xfId="262" applyBorder="1" applyAlignment="1">
      <alignment vertical="center"/>
    </xf>
    <xf numFmtId="0" fontId="34" fillId="0" borderId="0" xfId="194" applyFill="1" applyBorder="1" applyAlignment="1">
      <alignment vertical="center" wrapText="1"/>
    </xf>
    <xf numFmtId="0" fontId="34" fillId="0" borderId="21" xfId="194" applyFill="1" applyBorder="1" applyAlignment="1">
      <alignment horizontal="center" vertical="center"/>
    </xf>
    <xf numFmtId="0" fontId="34" fillId="0" borderId="0" xfId="194" applyAlignment="1">
      <alignment horizontal="center" vertical="center"/>
    </xf>
    <xf numFmtId="3" fontId="34" fillId="0" borderId="1" xfId="194" applyNumberFormat="1" applyBorder="1" applyAlignment="1">
      <alignment vertical="center"/>
    </xf>
    <xf numFmtId="178" fontId="34" fillId="0" borderId="1" xfId="194" applyNumberFormat="1" applyBorder="1" applyAlignment="1">
      <alignment vertical="center"/>
    </xf>
    <xf numFmtId="0" fontId="32" fillId="0" borderId="0" xfId="194" applyFont="1" applyBorder="1" applyAlignment="1">
      <alignment vertical="center" wrapText="1"/>
    </xf>
    <xf numFmtId="182" fontId="0" fillId="0" borderId="1" xfId="0" applyNumberFormat="1" applyBorder="1"/>
    <xf numFmtId="185" fontId="0" fillId="0" borderId="1" xfId="0" applyNumberFormat="1" applyBorder="1"/>
    <xf numFmtId="0" fontId="26" fillId="0" borderId="0" xfId="0" applyFont="1" applyAlignment="1">
      <alignment horizontal="left" vertical="center"/>
    </xf>
    <xf numFmtId="0" fontId="14" fillId="0" borderId="0" xfId="194" applyFont="1" applyBorder="1">
      <alignment vertical="center"/>
    </xf>
    <xf numFmtId="0" fontId="19" fillId="0" borderId="0" xfId="87" applyFont="1" applyBorder="1" applyAlignment="1">
      <alignment vertical="center"/>
    </xf>
    <xf numFmtId="0" fontId="51" fillId="0" borderId="0" xfId="194" applyFont="1" applyBorder="1">
      <alignment vertical="center"/>
    </xf>
    <xf numFmtId="0" fontId="34" fillId="2" borderId="1" xfId="194" applyFont="1" applyFill="1" applyBorder="1">
      <alignment vertical="center"/>
    </xf>
    <xf numFmtId="0" fontId="50" fillId="0" borderId="1" xfId="0" applyFont="1" applyBorder="1"/>
    <xf numFmtId="181" fontId="34" fillId="0" borderId="1" xfId="194" applyNumberFormat="1" applyFont="1" applyBorder="1">
      <alignment vertical="center"/>
    </xf>
    <xf numFmtId="0" fontId="14" fillId="0" borderId="1" xfId="194" applyFont="1" applyFill="1" applyBorder="1">
      <alignment vertical="center"/>
    </xf>
    <xf numFmtId="181" fontId="14" fillId="0" borderId="1" xfId="194" applyNumberFormat="1" applyFont="1" applyBorder="1">
      <alignment vertical="center"/>
    </xf>
    <xf numFmtId="0" fontId="14" fillId="2" borderId="1" xfId="194" applyFont="1" applyFill="1" applyBorder="1" applyAlignment="1">
      <alignment horizontal="center" vertical="center"/>
    </xf>
    <xf numFmtId="0" fontId="14" fillId="0" borderId="1" xfId="194" applyFont="1" applyBorder="1" applyAlignment="1">
      <alignment horizontal="center" vertical="center"/>
    </xf>
    <xf numFmtId="0" fontId="31" fillId="0" borderId="1" xfId="0" applyFont="1" applyBorder="1" applyAlignment="1">
      <alignment horizontal="center"/>
    </xf>
    <xf numFmtId="0" fontId="0" fillId="0" borderId="4" xfId="0" applyBorder="1" applyAlignment="1"/>
    <xf numFmtId="0" fontId="0" fillId="0" borderId="5" xfId="0" applyBorder="1"/>
    <xf numFmtId="0" fontId="0" fillId="0" borderId="4" xfId="0" applyBorder="1"/>
    <xf numFmtId="0" fontId="0" fillId="0" borderId="0" xfId="0" applyFill="1" applyBorder="1" applyAlignment="1">
      <alignment horizontal="left" vertical="top"/>
    </xf>
    <xf numFmtId="0" fontId="0" fillId="0" borderId="1" xfId="0" applyFill="1" applyBorder="1" applyAlignment="1">
      <alignment horizontal="right" vertical="top"/>
    </xf>
    <xf numFmtId="0" fontId="56" fillId="0" borderId="1" xfId="0" applyFont="1" applyFill="1" applyBorder="1" applyAlignment="1">
      <alignment horizontal="left" vertical="top"/>
    </xf>
    <xf numFmtId="0" fontId="56" fillId="0" borderId="0" xfId="0" applyFont="1" applyFill="1" applyBorder="1" applyAlignment="1">
      <alignment horizontal="left" vertical="top"/>
    </xf>
    <xf numFmtId="0" fontId="55" fillId="0" borderId="0" xfId="0" applyFont="1" applyFill="1" applyBorder="1" applyAlignment="1">
      <alignment horizontal="left" vertical="top"/>
    </xf>
    <xf numFmtId="0" fontId="0" fillId="0" borderId="1" xfId="0" applyBorder="1" applyAlignment="1">
      <alignment horizontal="center" vertical="center"/>
    </xf>
    <xf numFmtId="0" fontId="0" fillId="0" borderId="1" xfId="0" applyBorder="1" applyAlignment="1">
      <alignment horizontal="right"/>
    </xf>
    <xf numFmtId="0" fontId="0" fillId="0" borderId="1" xfId="0" applyBorder="1" applyAlignment="1">
      <alignment horizontal="center"/>
    </xf>
    <xf numFmtId="0" fontId="0" fillId="7" borderId="1" xfId="0" applyFill="1" applyBorder="1" applyAlignment="1">
      <alignment horizontal="center"/>
    </xf>
    <xf numFmtId="0" fontId="0" fillId="7" borderId="1" xfId="0"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6" fillId="0" borderId="1" xfId="0" applyFont="1" applyBorder="1" applyAlignment="1">
      <alignment horizontal="center" vertical="center"/>
    </xf>
    <xf numFmtId="0" fontId="0" fillId="0" borderId="1" xfId="0" applyFont="1" applyBorder="1" applyAlignment="1">
      <alignment horizontal="center" vertical="center"/>
    </xf>
    <xf numFmtId="0" fontId="41" fillId="0" borderId="1" xfId="0" applyFont="1" applyBorder="1"/>
    <xf numFmtId="0" fontId="22" fillId="0" borderId="1" xfId="0" applyFont="1" applyBorder="1" applyAlignment="1">
      <alignment horizontal="center" vertical="center"/>
    </xf>
    <xf numFmtId="0" fontId="16" fillId="0" borderId="1" xfId="0" applyFont="1" applyBorder="1" applyAlignment="1">
      <alignment horizontal="center"/>
    </xf>
    <xf numFmtId="0" fontId="59" fillId="0" borderId="1" xfId="0" applyFont="1" applyBorder="1" applyAlignment="1"/>
    <xf numFmtId="0" fontId="59" fillId="0" borderId="1" xfId="0" applyFont="1" applyBorder="1"/>
    <xf numFmtId="0" fontId="41" fillId="0" borderId="0" xfId="0" applyFont="1" applyBorder="1"/>
    <xf numFmtId="0" fontId="22" fillId="0" borderId="0" xfId="0" applyFont="1" applyFill="1" applyBorder="1" applyAlignment="1">
      <alignment horizontal="center"/>
    </xf>
    <xf numFmtId="0" fontId="0" fillId="0" borderId="0" xfId="0" applyBorder="1" applyAlignment="1">
      <alignment horizontal="center" vertical="center" wrapText="1"/>
    </xf>
    <xf numFmtId="0" fontId="17" fillId="0" borderId="0" xfId="0" applyFont="1" applyFill="1" applyAlignment="1">
      <alignment horizontal="center" vertical="center"/>
    </xf>
    <xf numFmtId="0" fontId="0" fillId="0" borderId="109" xfId="0" applyBorder="1" applyAlignment="1">
      <alignment vertical="center"/>
    </xf>
    <xf numFmtId="0" fontId="0" fillId="0" borderId="53" xfId="0" applyBorder="1" applyAlignment="1">
      <alignment vertical="center"/>
    </xf>
    <xf numFmtId="187" fontId="0" fillId="0" borderId="53" xfId="0" applyNumberFormat="1" applyBorder="1" applyAlignment="1">
      <alignment vertical="center"/>
    </xf>
    <xf numFmtId="0" fontId="0" fillId="0" borderId="110" xfId="0" applyBorder="1" applyAlignment="1">
      <alignment vertical="center"/>
    </xf>
    <xf numFmtId="188" fontId="0" fillId="0" borderId="109" xfId="0" applyNumberFormat="1" applyBorder="1" applyAlignment="1">
      <alignment vertical="center"/>
    </xf>
    <xf numFmtId="188" fontId="0" fillId="0" borderId="53" xfId="0" applyNumberFormat="1" applyBorder="1" applyAlignment="1">
      <alignment vertical="center"/>
    </xf>
    <xf numFmtId="187" fontId="0" fillId="0" borderId="109" xfId="0" applyNumberFormat="1" applyBorder="1" applyAlignment="1">
      <alignment vertical="center"/>
    </xf>
    <xf numFmtId="188" fontId="0" fillId="0" borderId="110" xfId="0" applyNumberFormat="1" applyBorder="1" applyAlignment="1">
      <alignment vertical="center"/>
    </xf>
    <xf numFmtId="0" fontId="16" fillId="0" borderId="0" xfId="0" applyFont="1" applyFill="1" applyBorder="1"/>
    <xf numFmtId="176" fontId="0" fillId="0" borderId="0" xfId="0" applyNumberFormat="1" applyFill="1" applyBorder="1"/>
    <xf numFmtId="178" fontId="0" fillId="0" borderId="0" xfId="0" applyNumberFormat="1" applyFill="1" applyBorder="1"/>
    <xf numFmtId="183" fontId="16" fillId="0" borderId="0" xfId="0" quotePrefix="1" applyNumberFormat="1" applyFont="1" applyFill="1" applyBorder="1"/>
    <xf numFmtId="0" fontId="0" fillId="17" borderId="1" xfId="0" applyFill="1" applyBorder="1" applyAlignment="1">
      <alignment horizontal="center" vertical="center"/>
    </xf>
    <xf numFmtId="0" fontId="0" fillId="17" borderId="4" xfId="0" applyFill="1" applyBorder="1" applyAlignment="1">
      <alignment horizontal="center" vertical="center"/>
    </xf>
    <xf numFmtId="0" fontId="0" fillId="0" borderId="60" xfId="0" applyFill="1" applyBorder="1"/>
    <xf numFmtId="0" fontId="57" fillId="0" borderId="1" xfId="0" applyFont="1" applyFill="1" applyBorder="1" applyAlignment="1">
      <alignment vertical="center"/>
    </xf>
    <xf numFmtId="0" fontId="57" fillId="0" borderId="4" xfId="0" applyFont="1" applyFill="1" applyBorder="1" applyAlignment="1">
      <alignment vertical="center"/>
    </xf>
    <xf numFmtId="0" fontId="57" fillId="0" borderId="1" xfId="0" applyFont="1" applyFill="1" applyBorder="1"/>
    <xf numFmtId="0" fontId="38" fillId="0" borderId="0" xfId="0" applyFont="1" applyFill="1" applyBorder="1" applyAlignment="1">
      <alignment vertical="top"/>
    </xf>
    <xf numFmtId="0" fontId="16" fillId="0" borderId="1" xfId="0" applyFont="1" applyBorder="1" applyAlignment="1">
      <alignment horizontal="right" vertical="center" wrapText="1"/>
    </xf>
    <xf numFmtId="0" fontId="0" fillId="2" borderId="1" xfId="0" applyFill="1" applyBorder="1"/>
    <xf numFmtId="0" fontId="0" fillId="12" borderId="1" xfId="0" applyFill="1" applyBorder="1" applyAlignment="1">
      <alignment vertical="center"/>
    </xf>
    <xf numFmtId="0" fontId="0" fillId="12" borderId="1" xfId="0" applyFill="1" applyBorder="1"/>
    <xf numFmtId="0" fontId="0" fillId="0" borderId="3" xfId="0" applyBorder="1" applyAlignment="1">
      <alignment vertical="center"/>
    </xf>
    <xf numFmtId="0" fontId="55" fillId="7" borderId="1" xfId="0" applyFont="1" applyFill="1" applyBorder="1" applyAlignment="1">
      <alignment horizontal="center" vertical="center"/>
    </xf>
    <xf numFmtId="0" fontId="12" fillId="0" borderId="1" xfId="194" applyFont="1" applyBorder="1" applyAlignment="1">
      <alignment horizontal="center" vertical="center"/>
    </xf>
    <xf numFmtId="0" fontId="36" fillId="0" borderId="2" xfId="194" applyFont="1" applyFill="1" applyBorder="1">
      <alignment vertical="center"/>
    </xf>
    <xf numFmtId="0" fontId="10" fillId="0" borderId="1" xfId="194" applyFont="1" applyBorder="1" applyAlignment="1">
      <alignment horizontal="center" vertical="center"/>
    </xf>
    <xf numFmtId="0" fontId="62" fillId="0" borderId="0" xfId="194" applyFont="1" applyFill="1" applyBorder="1" applyAlignment="1">
      <alignment horizontal="left" vertical="center" wrapText="1"/>
    </xf>
    <xf numFmtId="0" fontId="62" fillId="0" borderId="0" xfId="194" applyFont="1" applyAlignment="1">
      <alignment horizontal="left" vertical="center" wrapText="1"/>
    </xf>
    <xf numFmtId="0" fontId="11" fillId="0" borderId="1" xfId="194" applyFont="1" applyBorder="1">
      <alignment vertical="center"/>
    </xf>
    <xf numFmtId="0" fontId="10" fillId="0" borderId="1" xfId="194" applyFont="1" applyBorder="1">
      <alignment vertical="center"/>
    </xf>
    <xf numFmtId="0" fontId="10" fillId="0" borderId="0" xfId="277" applyAlignment="1">
      <alignment vertical="center" wrapText="1"/>
    </xf>
    <xf numFmtId="0" fontId="10" fillId="0" borderId="1" xfId="277" applyBorder="1">
      <alignment vertical="center"/>
    </xf>
    <xf numFmtId="49" fontId="10" fillId="0" borderId="1" xfId="277" applyNumberFormat="1" applyBorder="1">
      <alignment vertical="center"/>
    </xf>
    <xf numFmtId="179" fontId="10" fillId="0" borderId="1" xfId="277" applyNumberFormat="1" applyBorder="1">
      <alignment vertical="center"/>
    </xf>
    <xf numFmtId="0" fontId="10" fillId="0" borderId="1" xfId="277" applyFill="1" applyBorder="1">
      <alignment vertical="center"/>
    </xf>
    <xf numFmtId="0" fontId="10" fillId="0" borderId="0" xfId="277">
      <alignment vertical="center"/>
    </xf>
    <xf numFmtId="0" fontId="35" fillId="0" borderId="0" xfId="277" applyFont="1">
      <alignment vertical="center"/>
    </xf>
    <xf numFmtId="0" fontId="10" fillId="16" borderId="0" xfId="277" applyFill="1" applyAlignment="1">
      <alignment horizontal="left" vertical="center"/>
    </xf>
    <xf numFmtId="0" fontId="10" fillId="16" borderId="0" xfId="277" applyFill="1">
      <alignment vertical="center"/>
    </xf>
    <xf numFmtId="0" fontId="35" fillId="16" borderId="0" xfId="277" applyFont="1" applyFill="1" applyAlignment="1">
      <alignment horizontal="left" vertical="center"/>
    </xf>
    <xf numFmtId="0" fontId="10" fillId="16" borderId="1" xfId="277" applyFill="1" applyBorder="1">
      <alignment vertical="center"/>
    </xf>
    <xf numFmtId="0" fontId="10" fillId="16" borderId="1" xfId="277" applyNumberFormat="1" applyFill="1" applyBorder="1">
      <alignment vertical="center"/>
    </xf>
    <xf numFmtId="49" fontId="10" fillId="0" borderId="0" xfId="277" applyNumberFormat="1">
      <alignment vertical="center"/>
    </xf>
    <xf numFmtId="180" fontId="10" fillId="0" borderId="1" xfId="277" applyNumberFormat="1" applyFill="1" applyBorder="1">
      <alignment vertical="center"/>
    </xf>
    <xf numFmtId="176" fontId="10" fillId="0" borderId="1" xfId="277" applyNumberFormat="1" applyFill="1" applyBorder="1">
      <alignment vertical="center"/>
    </xf>
    <xf numFmtId="0" fontId="35" fillId="0" borderId="1" xfId="277" applyFont="1" applyBorder="1">
      <alignment vertical="center"/>
    </xf>
    <xf numFmtId="0" fontId="35" fillId="0" borderId="1" xfId="277" applyFont="1" applyFill="1" applyBorder="1">
      <alignment vertical="center"/>
    </xf>
    <xf numFmtId="0" fontId="10" fillId="18" borderId="1" xfId="277" applyFill="1" applyBorder="1">
      <alignment vertical="center"/>
    </xf>
    <xf numFmtId="49" fontId="10" fillId="18" borderId="1" xfId="277" applyNumberFormat="1" applyFill="1" applyBorder="1">
      <alignment vertical="center"/>
    </xf>
    <xf numFmtId="0" fontId="10" fillId="0" borderId="0" xfId="277" applyFill="1">
      <alignment vertical="center"/>
    </xf>
    <xf numFmtId="180" fontId="10" fillId="0" borderId="1" xfId="277" applyNumberFormat="1" applyBorder="1">
      <alignment vertical="center"/>
    </xf>
    <xf numFmtId="176" fontId="10" fillId="0" borderId="1" xfId="277" applyNumberFormat="1" applyBorder="1">
      <alignment vertical="center"/>
    </xf>
    <xf numFmtId="180" fontId="35" fillId="0" borderId="1" xfId="277" applyNumberFormat="1" applyFont="1" applyFill="1" applyBorder="1">
      <alignment vertical="center"/>
    </xf>
    <xf numFmtId="176" fontId="35" fillId="0" borderId="1" xfId="277" applyNumberFormat="1" applyFont="1" applyFill="1" applyBorder="1">
      <alignment vertical="center"/>
    </xf>
    <xf numFmtId="179" fontId="10" fillId="0" borderId="0" xfId="277" applyNumberFormat="1">
      <alignment vertical="center"/>
    </xf>
    <xf numFmtId="0" fontId="14" fillId="2" borderId="4" xfId="0" applyFont="1" applyFill="1" applyBorder="1" applyAlignment="1">
      <alignment vertical="center"/>
    </xf>
    <xf numFmtId="0" fontId="34" fillId="0" borderId="60" xfId="194" applyFont="1" applyFill="1" applyBorder="1">
      <alignment vertical="center"/>
    </xf>
    <xf numFmtId="0" fontId="9" fillId="0" borderId="60" xfId="0" applyFont="1" applyFill="1" applyBorder="1" applyAlignment="1">
      <alignment vertical="center"/>
    </xf>
    <xf numFmtId="0" fontId="51" fillId="0" borderId="0" xfId="0" applyFont="1" applyAlignment="1">
      <alignment vertical="center" wrapText="1"/>
    </xf>
    <xf numFmtId="0" fontId="34" fillId="2" borderId="1" xfId="0" applyFont="1" applyFill="1" applyBorder="1"/>
    <xf numFmtId="0" fontId="34" fillId="2" borderId="4" xfId="0" applyFont="1" applyFill="1" applyBorder="1"/>
    <xf numFmtId="0" fontId="13" fillId="2" borderId="1" xfId="0" applyFont="1" applyFill="1" applyBorder="1"/>
    <xf numFmtId="0" fontId="8" fillId="0" borderId="1" xfId="194" applyFont="1" applyFill="1" applyBorder="1">
      <alignment vertical="center"/>
    </xf>
    <xf numFmtId="0" fontId="51" fillId="2" borderId="4" xfId="194" applyFont="1" applyFill="1" applyBorder="1">
      <alignment vertical="center"/>
    </xf>
    <xf numFmtId="0" fontId="51" fillId="0" borderId="4" xfId="194" applyFont="1" applyFill="1" applyBorder="1">
      <alignment vertical="center"/>
    </xf>
    <xf numFmtId="0" fontId="52" fillId="0" borderId="4" xfId="87" applyFont="1" applyFill="1" applyBorder="1" applyAlignment="1">
      <alignment vertical="center"/>
    </xf>
    <xf numFmtId="0" fontId="53" fillId="0" borderId="0" xfId="194" applyFont="1" applyFill="1">
      <alignment vertical="center"/>
    </xf>
    <xf numFmtId="0" fontId="34" fillId="0" borderId="4" xfId="194" applyFont="1" applyFill="1" applyBorder="1">
      <alignment vertical="center"/>
    </xf>
    <xf numFmtId="0" fontId="8" fillId="0" borderId="60" xfId="194" applyFont="1" applyFill="1" applyBorder="1" applyAlignment="1">
      <alignment vertical="center"/>
    </xf>
    <xf numFmtId="0" fontId="34" fillId="0" borderId="60" xfId="194" applyFont="1" applyFill="1" applyBorder="1" applyAlignment="1">
      <alignment vertical="center"/>
    </xf>
    <xf numFmtId="0" fontId="51" fillId="0" borderId="0" xfId="0" applyFont="1" applyAlignment="1">
      <alignment vertical="center"/>
    </xf>
    <xf numFmtId="0" fontId="10" fillId="7" borderId="1" xfId="277" applyFill="1" applyBorder="1" applyAlignment="1">
      <alignment vertical="center" wrapText="1"/>
    </xf>
    <xf numFmtId="49" fontId="10" fillId="7" borderId="1" xfId="277" applyNumberFormat="1" applyFill="1" applyBorder="1" applyAlignment="1">
      <alignment vertical="center" wrapText="1"/>
    </xf>
    <xf numFmtId="179" fontId="10" fillId="7" borderId="1" xfId="277" applyNumberFormat="1" applyFill="1" applyBorder="1" applyAlignment="1">
      <alignment vertical="center" wrapText="1"/>
    </xf>
    <xf numFmtId="0" fontId="0" fillId="2" borderId="1" xfId="0" applyFill="1" applyBorder="1" applyAlignment="1">
      <alignment vertical="center"/>
    </xf>
    <xf numFmtId="0" fontId="8" fillId="2" borderId="1" xfId="194" applyFont="1" applyFill="1" applyBorder="1" applyAlignment="1">
      <alignment vertical="center" wrapText="1"/>
    </xf>
    <xf numFmtId="0" fontId="34" fillId="2" borderId="3" xfId="194" applyFont="1" applyFill="1" applyBorder="1">
      <alignment vertical="center"/>
    </xf>
    <xf numFmtId="0" fontId="34" fillId="2" borderId="3" xfId="194" applyFont="1" applyFill="1" applyBorder="1" applyAlignment="1">
      <alignment vertical="center" wrapText="1"/>
    </xf>
    <xf numFmtId="0" fontId="34" fillId="0" borderId="3" xfId="194" applyFont="1" applyFill="1" applyBorder="1">
      <alignment vertical="center"/>
    </xf>
    <xf numFmtId="0" fontId="6" fillId="0" borderId="0" xfId="194" applyFont="1" applyBorder="1">
      <alignment vertical="center"/>
    </xf>
    <xf numFmtId="0" fontId="17" fillId="2" borderId="1" xfId="0" applyFont="1" applyFill="1" applyBorder="1" applyAlignment="1">
      <alignment horizontal="center" vertical="center" wrapText="1"/>
    </xf>
    <xf numFmtId="0" fontId="0" fillId="2" borderId="1" xfId="0" applyFill="1" applyBorder="1" applyAlignment="1">
      <alignment horizontal="center" vertical="center"/>
    </xf>
    <xf numFmtId="178" fontId="0" fillId="2" borderId="1" xfId="0" applyNumberFormat="1" applyFill="1" applyBorder="1" applyAlignment="1">
      <alignment horizontal="center" vertical="center"/>
    </xf>
    <xf numFmtId="178" fontId="51" fillId="12" borderId="1" xfId="0" applyNumberFormat="1" applyFont="1" applyFill="1" applyBorder="1" applyAlignment="1">
      <alignment horizontal="center" vertical="center"/>
    </xf>
    <xf numFmtId="5" fontId="51" fillId="19" borderId="1" xfId="0" applyNumberFormat="1" applyFont="1" applyFill="1" applyBorder="1" applyAlignment="1">
      <alignment horizontal="center" vertical="center"/>
    </xf>
    <xf numFmtId="5" fontId="68" fillId="19" borderId="1" xfId="0" applyNumberFormat="1" applyFont="1" applyFill="1" applyBorder="1" applyAlignment="1">
      <alignment horizontal="center" vertical="center"/>
    </xf>
    <xf numFmtId="178" fontId="68" fillId="12" borderId="1" xfId="0" applyNumberFormat="1" applyFont="1" applyFill="1" applyBorder="1" applyAlignment="1">
      <alignment horizontal="center" vertical="center" wrapText="1"/>
    </xf>
    <xf numFmtId="5" fontId="68" fillId="19" borderId="1" xfId="0" applyNumberFormat="1" applyFont="1" applyFill="1" applyBorder="1" applyAlignment="1">
      <alignment horizontal="center" vertical="center" wrapText="1"/>
    </xf>
    <xf numFmtId="0" fontId="68" fillId="0" borderId="0" xfId="0" applyFont="1"/>
    <xf numFmtId="189" fontId="68" fillId="0" borderId="0" xfId="0" applyNumberFormat="1" applyFont="1"/>
    <xf numFmtId="38" fontId="68" fillId="0" borderId="0" xfId="0" applyNumberFormat="1" applyFont="1"/>
    <xf numFmtId="0" fontId="34" fillId="0" borderId="1" xfId="194" applyBorder="1" applyAlignment="1">
      <alignment horizontal="center" vertical="center"/>
    </xf>
    <xf numFmtId="0" fontId="34" fillId="0" borderId="0" xfId="194" applyFont="1" applyFill="1" applyBorder="1" applyAlignment="1">
      <alignment vertical="center"/>
    </xf>
    <xf numFmtId="0" fontId="34" fillId="0" borderId="1" xfId="194" applyFont="1" applyFill="1" applyBorder="1" applyAlignment="1">
      <alignment vertical="center"/>
    </xf>
    <xf numFmtId="0" fontId="6" fillId="0" borderId="1" xfId="194" applyFont="1" applyBorder="1">
      <alignment vertical="center"/>
    </xf>
    <xf numFmtId="0" fontId="5" fillId="0" borderId="0" xfId="194" applyFont="1" applyAlignment="1">
      <alignment vertical="center"/>
    </xf>
    <xf numFmtId="0" fontId="0" fillId="7" borderId="1" xfId="0" applyFont="1" applyFill="1" applyBorder="1" applyAlignment="1">
      <alignment horizontal="center" wrapText="1"/>
    </xf>
    <xf numFmtId="0" fontId="55" fillId="0" borderId="1" xfId="0" applyFont="1" applyBorder="1"/>
    <xf numFmtId="0" fontId="55" fillId="0" borderId="1" xfId="0" applyFont="1" applyFill="1" applyBorder="1" applyAlignment="1">
      <alignment wrapText="1"/>
    </xf>
    <xf numFmtId="0" fontId="55" fillId="7" borderId="1" xfId="0" applyFont="1" applyFill="1" applyBorder="1" applyAlignment="1">
      <alignment horizontal="center"/>
    </xf>
    <xf numFmtId="0" fontId="55" fillId="0" borderId="1" xfId="0" applyFont="1" applyFill="1" applyBorder="1"/>
    <xf numFmtId="0" fontId="55" fillId="0" borderId="0" xfId="0" applyFont="1"/>
    <xf numFmtId="0" fontId="4" fillId="11" borderId="1" xfId="194" applyFont="1" applyFill="1" applyBorder="1" applyAlignment="1">
      <alignment vertical="center"/>
    </xf>
    <xf numFmtId="0" fontId="4" fillId="0" borderId="1" xfId="194" applyFont="1" applyBorder="1" applyAlignment="1">
      <alignment vertical="center"/>
    </xf>
    <xf numFmtId="0" fontId="4" fillId="6" borderId="1" xfId="194" applyFont="1" applyFill="1" applyBorder="1" applyAlignment="1">
      <alignment horizontal="center" vertical="center"/>
    </xf>
    <xf numFmtId="0" fontId="4" fillId="0" borderId="1" xfId="194" applyFont="1" applyFill="1" applyBorder="1" applyAlignment="1">
      <alignment vertical="center"/>
    </xf>
    <xf numFmtId="0" fontId="42" fillId="0" borderId="0" xfId="194" applyFont="1" applyFill="1" applyBorder="1" applyAlignment="1">
      <alignment horizontal="center" vertical="center"/>
    </xf>
    <xf numFmtId="0" fontId="0" fillId="0" borderId="1" xfId="0" applyNumberFormat="1" applyBorder="1"/>
    <xf numFmtId="0" fontId="0" fillId="20" borderId="33" xfId="0" applyFill="1" applyBorder="1"/>
    <xf numFmtId="0" fontId="0" fillId="20" borderId="35" xfId="0" applyFill="1" applyBorder="1"/>
    <xf numFmtId="0" fontId="0" fillId="20" borderId="34" xfId="0" applyFill="1" applyBorder="1"/>
    <xf numFmtId="0" fontId="0" fillId="20" borderId="37" xfId="0" applyFill="1" applyBorder="1"/>
    <xf numFmtId="0" fontId="16" fillId="20" borderId="36" xfId="0" applyFont="1" applyFill="1" applyBorder="1" applyAlignment="1">
      <alignment horizontal="left"/>
    </xf>
    <xf numFmtId="0" fontId="0" fillId="20" borderId="0" xfId="0" applyFill="1"/>
    <xf numFmtId="0" fontId="0" fillId="20" borderId="36" xfId="0" applyFont="1" applyFill="1" applyBorder="1"/>
    <xf numFmtId="0" fontId="0" fillId="20" borderId="36" xfId="0" applyFont="1" applyFill="1" applyBorder="1" applyAlignment="1">
      <alignment horizontal="left" vertical="center"/>
    </xf>
    <xf numFmtId="0" fontId="0" fillId="20" borderId="40" xfId="0" applyFont="1" applyFill="1" applyBorder="1" applyAlignment="1">
      <alignment horizontal="left" vertical="center"/>
    </xf>
    <xf numFmtId="0" fontId="0" fillId="20" borderId="38" xfId="0" applyFill="1" applyBorder="1"/>
    <xf numFmtId="0" fontId="24" fillId="20" borderId="39" xfId="0" applyFont="1" applyFill="1" applyBorder="1" applyAlignment="1">
      <alignment horizontal="center" vertical="center"/>
    </xf>
    <xf numFmtId="0" fontId="26" fillId="20" borderId="0" xfId="0" applyFont="1" applyFill="1" applyAlignment="1">
      <alignment horizontal="left" vertical="center"/>
    </xf>
    <xf numFmtId="0" fontId="0" fillId="20" borderId="36" xfId="0" applyFill="1" applyBorder="1"/>
    <xf numFmtId="0" fontId="32" fillId="20" borderId="0" xfId="0" applyFont="1" applyFill="1" applyBorder="1" applyAlignment="1">
      <alignment horizontal="left"/>
    </xf>
    <xf numFmtId="0" fontId="0" fillId="20" borderId="0" xfId="0" applyFill="1" applyBorder="1" applyAlignment="1">
      <alignment horizontal="center"/>
    </xf>
    <xf numFmtId="0" fontId="0" fillId="20" borderId="36" xfId="0" applyFill="1" applyBorder="1" applyAlignment="1">
      <alignment horizontal="center"/>
    </xf>
    <xf numFmtId="0" fontId="32" fillId="20" borderId="0" xfId="0" applyFont="1" applyFill="1" applyBorder="1" applyAlignment="1"/>
    <xf numFmtId="0" fontId="0" fillId="20" borderId="0" xfId="0" applyFill="1" applyBorder="1" applyAlignment="1">
      <alignment horizontal="right"/>
    </xf>
    <xf numFmtId="0" fontId="0" fillId="20" borderId="36" xfId="0" applyFill="1" applyBorder="1" applyAlignment="1">
      <alignment horizontal="right"/>
    </xf>
    <xf numFmtId="0" fontId="0" fillId="20" borderId="6" xfId="0" applyFill="1" applyBorder="1" applyAlignment="1">
      <alignment horizontal="left"/>
    </xf>
    <xf numFmtId="0" fontId="0" fillId="20" borderId="6" xfId="0" applyFill="1" applyBorder="1" applyAlignment="1"/>
    <xf numFmtId="0" fontId="0" fillId="20" borderId="6" xfId="0" applyFill="1" applyBorder="1"/>
    <xf numFmtId="0" fontId="31" fillId="20" borderId="5" xfId="0" applyFont="1" applyFill="1" applyBorder="1" applyAlignment="1">
      <alignment horizontal="center"/>
    </xf>
    <xf numFmtId="178" fontId="31" fillId="20" borderId="6" xfId="0" applyNumberFormat="1" applyFont="1" applyFill="1" applyBorder="1" applyAlignment="1">
      <alignment horizontal="right"/>
    </xf>
    <xf numFmtId="0" fontId="0" fillId="20" borderId="39" xfId="0" applyFill="1" applyBorder="1" applyAlignment="1">
      <alignment horizontal="center"/>
    </xf>
    <xf numFmtId="0" fontId="0" fillId="20" borderId="40" xfId="0" applyFill="1" applyBorder="1" applyAlignment="1">
      <alignment horizontal="center"/>
    </xf>
    <xf numFmtId="0" fontId="0" fillId="20" borderId="0" xfId="0" applyFill="1" applyBorder="1"/>
    <xf numFmtId="0" fontId="0" fillId="20" borderId="0" xfId="0" applyFill="1" applyBorder="1" applyAlignment="1"/>
    <xf numFmtId="0" fontId="0" fillId="20" borderId="0" xfId="0" applyFill="1" applyBorder="1" applyAlignment="1">
      <alignment horizontal="center" vertical="center"/>
    </xf>
    <xf numFmtId="0" fontId="0" fillId="20" borderId="0" xfId="0" applyFill="1" applyBorder="1" applyAlignment="1">
      <alignment horizontal="left" vertical="center"/>
    </xf>
    <xf numFmtId="0" fontId="32" fillId="20" borderId="0" xfId="0" applyFont="1" applyFill="1" applyBorder="1" applyAlignment="1">
      <alignment horizontal="left" vertical="center"/>
    </xf>
    <xf numFmtId="0" fontId="0" fillId="20" borderId="39" xfId="0" applyFill="1" applyBorder="1" applyAlignment="1">
      <alignment horizontal="center" vertical="center"/>
    </xf>
    <xf numFmtId="178" fontId="31" fillId="20" borderId="4" xfId="0" applyNumberFormat="1" applyFont="1" applyFill="1" applyBorder="1" applyAlignment="1">
      <alignment horizontal="right"/>
    </xf>
    <xf numFmtId="0" fontId="0" fillId="20" borderId="39" xfId="0" applyFill="1" applyBorder="1"/>
    <xf numFmtId="0" fontId="9" fillId="20" borderId="0" xfId="278" applyFill="1">
      <alignment vertical="center"/>
    </xf>
    <xf numFmtId="0" fontId="51" fillId="20" borderId="0" xfId="0" applyFont="1" applyFill="1" applyAlignment="1">
      <alignment vertical="center" wrapText="1"/>
    </xf>
    <xf numFmtId="0" fontId="0" fillId="20" borderId="0" xfId="0" applyFill="1" applyAlignment="1">
      <alignment horizontal="left"/>
    </xf>
    <xf numFmtId="0" fontId="67" fillId="20" borderId="0" xfId="0" applyFont="1" applyFill="1" applyAlignment="1">
      <alignment vertical="center"/>
    </xf>
    <xf numFmtId="0" fontId="51" fillId="20" borderId="0" xfId="0" applyFont="1" applyFill="1" applyAlignment="1">
      <alignment horizontal="left" vertical="center" wrapText="1"/>
    </xf>
    <xf numFmtId="0" fontId="51" fillId="0" borderId="0" xfId="0" applyFont="1" applyAlignment="1">
      <alignment horizontal="left" vertical="center" wrapText="1"/>
    </xf>
    <xf numFmtId="0" fontId="2" fillId="16" borderId="1" xfId="194" applyFont="1" applyFill="1" applyBorder="1" applyAlignment="1">
      <alignment horizontal="center" vertical="center"/>
    </xf>
    <xf numFmtId="178" fontId="68" fillId="21" borderId="1" xfId="0" applyNumberFormat="1" applyFont="1" applyFill="1" applyBorder="1" applyAlignment="1">
      <alignment horizontal="center" vertical="center" wrapText="1"/>
    </xf>
    <xf numFmtId="5" fontId="68" fillId="21" borderId="1" xfId="0" applyNumberFormat="1" applyFont="1" applyFill="1" applyBorder="1" applyAlignment="1">
      <alignment horizontal="center" vertical="center"/>
    </xf>
    <xf numFmtId="0" fontId="68" fillId="21" borderId="1" xfId="0" applyFont="1" applyFill="1" applyBorder="1"/>
    <xf numFmtId="3" fontId="68" fillId="21" borderId="1" xfId="0" applyNumberFormat="1" applyFont="1" applyFill="1" applyBorder="1"/>
    <xf numFmtId="38" fontId="68" fillId="12" borderId="1" xfId="0" applyNumberFormat="1" applyFont="1" applyFill="1" applyBorder="1"/>
    <xf numFmtId="0" fontId="68" fillId="12" borderId="1" xfId="0" applyFont="1" applyFill="1" applyBorder="1"/>
    <xf numFmtId="184" fontId="68" fillId="21" borderId="1" xfId="0" applyNumberFormat="1" applyFont="1" applyFill="1" applyBorder="1"/>
    <xf numFmtId="0" fontId="68" fillId="21" borderId="1" xfId="0" applyFont="1" applyFill="1" applyBorder="1" applyAlignment="1">
      <alignment vertical="center" wrapText="1"/>
    </xf>
    <xf numFmtId="0" fontId="51" fillId="0" borderId="0" xfId="0" applyFont="1"/>
    <xf numFmtId="0" fontId="23" fillId="0" borderId="0" xfId="0" applyFont="1"/>
    <xf numFmtId="38" fontId="51" fillId="0" borderId="0" xfId="0" applyNumberFormat="1" applyFont="1"/>
    <xf numFmtId="3" fontId="51" fillId="0" borderId="0" xfId="0" applyNumberFormat="1" applyFont="1"/>
    <xf numFmtId="0" fontId="51" fillId="0" borderId="0" xfId="0" applyNumberFormat="1" applyFont="1"/>
    <xf numFmtId="0" fontId="77" fillId="2" borderId="9" xfId="0" applyFont="1" applyFill="1" applyBorder="1" applyAlignment="1">
      <alignment horizontal="center" vertical="center" wrapText="1"/>
    </xf>
    <xf numFmtId="0" fontId="77" fillId="7" borderId="17" xfId="0" applyFont="1" applyFill="1" applyBorder="1" applyAlignment="1">
      <alignment horizontal="left" vertical="center" wrapText="1" indent="1"/>
    </xf>
    <xf numFmtId="0" fontId="77" fillId="9" borderId="17" xfId="0" applyFont="1" applyFill="1" applyBorder="1" applyAlignment="1">
      <alignment horizontal="left" vertical="center" wrapText="1" indent="1"/>
    </xf>
    <xf numFmtId="0" fontId="77" fillId="12" borderId="1" xfId="0" applyFont="1" applyFill="1" applyBorder="1" applyAlignment="1">
      <alignment horizontal="left" vertical="center" wrapText="1"/>
    </xf>
    <xf numFmtId="0" fontId="77" fillId="12" borderId="17" xfId="0" applyFont="1" applyFill="1" applyBorder="1" applyAlignment="1">
      <alignment horizontal="left" vertical="center" wrapText="1" indent="1"/>
    </xf>
    <xf numFmtId="0" fontId="79" fillId="12" borderId="17" xfId="0" applyFont="1" applyFill="1" applyBorder="1" applyAlignment="1">
      <alignment horizontal="left" vertical="center" wrapText="1" indent="1"/>
    </xf>
    <xf numFmtId="0" fontId="80" fillId="11" borderId="17" xfId="0" applyFont="1" applyFill="1" applyBorder="1" applyAlignment="1">
      <alignment horizontal="left" vertical="center" wrapText="1" indent="1"/>
    </xf>
    <xf numFmtId="0" fontId="80" fillId="21" borderId="17" xfId="0" applyFont="1" applyFill="1" applyBorder="1" applyAlignment="1">
      <alignment horizontal="left" vertical="center" wrapText="1" indent="1"/>
    </xf>
    <xf numFmtId="0" fontId="80" fillId="21" borderId="12" xfId="0" applyFont="1" applyFill="1" applyBorder="1" applyAlignment="1">
      <alignment horizontal="left" vertical="center" wrapText="1" indent="1"/>
    </xf>
    <xf numFmtId="0" fontId="60" fillId="20" borderId="0" xfId="278" applyFont="1" applyFill="1" applyAlignment="1">
      <alignment vertical="top"/>
    </xf>
    <xf numFmtId="0" fontId="0" fillId="20" borderId="83" xfId="0" applyFill="1" applyBorder="1" applyAlignment="1">
      <alignment horizontal="left" vertical="center"/>
    </xf>
    <xf numFmtId="0" fontId="0" fillId="20" borderId="79" xfId="0" applyFill="1" applyBorder="1" applyAlignment="1">
      <alignment horizontal="left" vertical="center"/>
    </xf>
    <xf numFmtId="189" fontId="33" fillId="9" borderId="73" xfId="0" applyNumberFormat="1" applyFont="1" applyFill="1" applyBorder="1" applyAlignment="1">
      <alignment horizontal="right" vertical="center"/>
    </xf>
    <xf numFmtId="189" fontId="33" fillId="9" borderId="122" xfId="0" applyNumberFormat="1" applyFont="1" applyFill="1" applyBorder="1" applyAlignment="1">
      <alignment horizontal="right" vertical="center"/>
    </xf>
    <xf numFmtId="38" fontId="33" fillId="9" borderId="73" xfId="0" applyNumberFormat="1" applyFont="1" applyFill="1" applyBorder="1" applyAlignment="1">
      <alignment horizontal="right" vertical="center"/>
    </xf>
    <xf numFmtId="38" fontId="33" fillId="9" borderId="122" xfId="0" applyNumberFormat="1" applyFont="1" applyFill="1" applyBorder="1" applyAlignment="1">
      <alignment horizontal="right" vertical="center"/>
    </xf>
    <xf numFmtId="0" fontId="25" fillId="8" borderId="41" xfId="0" applyFont="1" applyFill="1" applyBorder="1" applyAlignment="1">
      <alignment horizontal="center" vertical="center"/>
    </xf>
    <xf numFmtId="0" fontId="25" fillId="8" borderId="42" xfId="0" applyFont="1" applyFill="1" applyBorder="1" applyAlignment="1">
      <alignment horizontal="center" vertical="center"/>
    </xf>
    <xf numFmtId="0" fontId="25" fillId="8" borderId="43" xfId="0" applyFont="1" applyFill="1" applyBorder="1" applyAlignment="1">
      <alignment horizontal="center" vertical="center"/>
    </xf>
    <xf numFmtId="0" fontId="26" fillId="20" borderId="0" xfId="0" applyFont="1" applyFill="1" applyAlignment="1">
      <alignment horizontal="left" vertical="center"/>
    </xf>
    <xf numFmtId="0" fontId="23" fillId="4" borderId="73" xfId="0" applyFont="1" applyFill="1" applyBorder="1" applyAlignment="1">
      <alignment horizontal="center" vertical="center"/>
    </xf>
    <xf numFmtId="0" fontId="23" fillId="4" borderId="74" xfId="0" applyFont="1" applyFill="1" applyBorder="1" applyAlignment="1">
      <alignment horizontal="center" vertical="center"/>
    </xf>
    <xf numFmtId="0" fontId="23" fillId="4" borderId="76" xfId="0" applyFont="1" applyFill="1" applyBorder="1" applyAlignment="1">
      <alignment horizontal="center" vertical="center"/>
    </xf>
    <xf numFmtId="0" fontId="23" fillId="4" borderId="77" xfId="0" applyFont="1" applyFill="1" applyBorder="1" applyAlignment="1">
      <alignment horizontal="center" vertical="center"/>
    </xf>
    <xf numFmtId="0" fontId="23" fillId="4" borderId="30" xfId="0" applyFont="1" applyFill="1" applyBorder="1" applyAlignment="1">
      <alignment horizontal="center" vertical="center"/>
    </xf>
    <xf numFmtId="0" fontId="23" fillId="4" borderId="31" xfId="0" applyFont="1" applyFill="1" applyBorder="1" applyAlignment="1">
      <alignment horizontal="center" vertical="center"/>
    </xf>
    <xf numFmtId="0" fontId="23" fillId="4" borderId="114" xfId="0" applyFont="1" applyFill="1" applyBorder="1" applyAlignment="1">
      <alignment horizontal="center" vertical="center"/>
    </xf>
    <xf numFmtId="0" fontId="23" fillId="4" borderId="119" xfId="0" applyFont="1" applyFill="1" applyBorder="1" applyAlignment="1">
      <alignment horizontal="center" vertical="center"/>
    </xf>
    <xf numFmtId="0" fontId="23" fillId="4" borderId="120" xfId="0" applyFont="1" applyFill="1" applyBorder="1" applyAlignment="1">
      <alignment horizontal="center" vertical="center"/>
    </xf>
    <xf numFmtId="0" fontId="23" fillId="4" borderId="115" xfId="0" applyFont="1" applyFill="1" applyBorder="1" applyAlignment="1">
      <alignment horizontal="center" vertical="center"/>
    </xf>
    <xf numFmtId="0" fontId="0" fillId="20" borderId="64" xfId="0" applyFill="1" applyBorder="1" applyAlignment="1">
      <alignment horizontal="center"/>
    </xf>
    <xf numFmtId="0" fontId="0" fillId="20" borderId="61" xfId="0" applyFill="1" applyBorder="1" applyAlignment="1">
      <alignment horizontal="center"/>
    </xf>
    <xf numFmtId="0" fontId="0" fillId="20" borderId="82" xfId="0" applyFill="1" applyBorder="1" applyAlignment="1">
      <alignment horizontal="left" vertical="center"/>
    </xf>
    <xf numFmtId="0" fontId="0" fillId="20" borderId="78" xfId="0" applyFill="1" applyBorder="1" applyAlignment="1">
      <alignment horizontal="left" vertical="center"/>
    </xf>
    <xf numFmtId="0" fontId="23" fillId="20" borderId="72" xfId="0" applyFont="1" applyFill="1" applyBorder="1" applyAlignment="1">
      <alignment horizontal="center" vertical="center" wrapText="1"/>
    </xf>
    <xf numFmtId="0" fontId="23" fillId="20" borderId="84" xfId="0" applyFont="1" applyFill="1" applyBorder="1" applyAlignment="1">
      <alignment horizontal="center" vertical="center" wrapText="1"/>
    </xf>
    <xf numFmtId="0" fontId="23" fillId="20" borderId="75" xfId="0" applyFont="1" applyFill="1" applyBorder="1" applyAlignment="1">
      <alignment horizontal="center" vertical="center" wrapText="1"/>
    </xf>
    <xf numFmtId="0" fontId="23" fillId="20" borderId="73" xfId="0" applyFont="1" applyFill="1" applyBorder="1" applyAlignment="1">
      <alignment horizontal="center" vertical="center" wrapText="1"/>
    </xf>
    <xf numFmtId="0" fontId="23" fillId="20" borderId="122" xfId="0" applyFont="1" applyFill="1" applyBorder="1" applyAlignment="1">
      <alignment horizontal="center" vertical="center" wrapText="1"/>
    </xf>
    <xf numFmtId="0" fontId="23" fillId="20" borderId="85" xfId="0" applyFont="1" applyFill="1" applyBorder="1" applyAlignment="1">
      <alignment horizontal="center" vertical="center" wrapText="1"/>
    </xf>
    <xf numFmtId="0" fontId="23" fillId="20" borderId="124" xfId="0" applyFont="1" applyFill="1" applyBorder="1" applyAlignment="1">
      <alignment horizontal="center" vertical="center" wrapText="1"/>
    </xf>
    <xf numFmtId="0" fontId="23" fillId="20" borderId="76" xfId="0" applyFont="1" applyFill="1" applyBorder="1" applyAlignment="1">
      <alignment horizontal="center" vertical="center" wrapText="1"/>
    </xf>
    <xf numFmtId="0" fontId="23" fillId="20" borderId="124" xfId="0" applyFont="1" applyFill="1" applyBorder="1" applyAlignment="1">
      <alignment horizontal="center" vertical="center"/>
    </xf>
    <xf numFmtId="0" fontId="23" fillId="20" borderId="76" xfId="0" applyFont="1" applyFill="1" applyBorder="1" applyAlignment="1">
      <alignment horizontal="center" vertical="center"/>
    </xf>
    <xf numFmtId="189" fontId="33" fillId="9" borderId="99" xfId="0" applyNumberFormat="1" applyFont="1" applyFill="1" applyBorder="1" applyAlignment="1">
      <alignment horizontal="right" vertical="center"/>
    </xf>
    <xf numFmtId="189" fontId="33" fillId="9" borderId="91" xfId="0" applyNumberFormat="1" applyFont="1" applyFill="1" applyBorder="1" applyAlignment="1">
      <alignment horizontal="right" vertical="center"/>
    </xf>
    <xf numFmtId="178" fontId="70" fillId="12" borderId="1" xfId="0" applyNumberFormat="1" applyFont="1" applyFill="1" applyBorder="1" applyAlignment="1">
      <alignment horizontal="center" vertical="center"/>
    </xf>
    <xf numFmtId="5" fontId="70" fillId="19" borderId="1" xfId="0" applyNumberFormat="1" applyFont="1" applyFill="1" applyBorder="1" applyAlignment="1">
      <alignment horizontal="center" vertical="center"/>
    </xf>
    <xf numFmtId="178" fontId="51" fillId="12" borderId="1" xfId="0" applyNumberFormat="1" applyFont="1" applyFill="1" applyBorder="1" applyAlignment="1">
      <alignment horizontal="center" vertical="center"/>
    </xf>
    <xf numFmtId="5" fontId="51" fillId="19" borderId="1" xfId="0" applyNumberFormat="1" applyFont="1" applyFill="1" applyBorder="1" applyAlignment="1">
      <alignment horizontal="center" vertical="center"/>
    </xf>
    <xf numFmtId="5" fontId="68" fillId="19" borderId="1" xfId="0" applyNumberFormat="1" applyFont="1" applyFill="1" applyBorder="1" applyAlignment="1">
      <alignment horizontal="center" vertical="center"/>
    </xf>
    <xf numFmtId="5" fontId="68" fillId="19" borderId="2" xfId="0" applyNumberFormat="1" applyFont="1" applyFill="1" applyBorder="1" applyAlignment="1">
      <alignment horizontal="center" vertical="center" wrapText="1"/>
    </xf>
    <xf numFmtId="5" fontId="68" fillId="19" borderId="3" xfId="0" applyNumberFormat="1" applyFont="1" applyFill="1" applyBorder="1" applyAlignment="1">
      <alignment horizontal="center" vertical="center" wrapText="1"/>
    </xf>
    <xf numFmtId="0" fontId="0" fillId="20" borderId="99" xfId="0" applyFill="1" applyBorder="1" applyAlignment="1">
      <alignment horizontal="left" vertical="center"/>
    </xf>
    <xf numFmtId="0" fontId="0" fillId="20" borderId="91" xfId="0" applyFill="1" applyBorder="1" applyAlignment="1">
      <alignment horizontal="left" vertical="center"/>
    </xf>
    <xf numFmtId="0" fontId="0" fillId="20" borderId="13" xfId="0" applyFill="1" applyBorder="1" applyAlignment="1">
      <alignment horizontal="center"/>
    </xf>
    <xf numFmtId="0" fontId="0" fillId="20" borderId="8" xfId="0" applyFill="1" applyBorder="1" applyAlignment="1">
      <alignment horizontal="center"/>
    </xf>
    <xf numFmtId="189" fontId="33" fillId="9" borderId="124" xfId="0" applyNumberFormat="1" applyFont="1" applyFill="1" applyBorder="1" applyAlignment="1">
      <alignment horizontal="right" vertical="center"/>
    </xf>
    <xf numFmtId="189" fontId="33" fillId="9" borderId="76" xfId="0" applyNumberFormat="1" applyFont="1" applyFill="1" applyBorder="1" applyAlignment="1">
      <alignment horizontal="right" vertical="center"/>
    </xf>
    <xf numFmtId="0" fontId="0" fillId="7" borderId="65" xfId="0" applyFill="1" applyBorder="1" applyAlignment="1" applyProtection="1">
      <alignment horizontal="center"/>
      <protection locked="0"/>
    </xf>
    <xf numFmtId="0" fontId="0" fillId="7" borderId="67" xfId="0" applyFill="1" applyBorder="1" applyAlignment="1" applyProtection="1">
      <alignment horizontal="center"/>
      <protection locked="0"/>
    </xf>
    <xf numFmtId="0" fontId="0" fillId="7" borderId="68" xfId="0" applyFill="1" applyBorder="1" applyAlignment="1" applyProtection="1">
      <alignment horizontal="center"/>
      <protection locked="0"/>
    </xf>
    <xf numFmtId="0" fontId="0" fillId="7" borderId="58" xfId="0" applyFill="1" applyBorder="1" applyAlignment="1" applyProtection="1">
      <alignment horizontal="center"/>
      <protection locked="0"/>
    </xf>
    <xf numFmtId="0" fontId="0" fillId="7" borderId="70" xfId="0" applyFill="1" applyBorder="1" applyAlignment="1" applyProtection="1">
      <alignment horizontal="center"/>
      <protection locked="0"/>
    </xf>
    <xf numFmtId="0" fontId="0" fillId="7" borderId="71" xfId="0" applyFill="1" applyBorder="1" applyAlignment="1" applyProtection="1">
      <alignment horizontal="center"/>
      <protection locked="0"/>
    </xf>
    <xf numFmtId="0" fontId="0" fillId="20" borderId="107" xfId="0" applyFill="1" applyBorder="1" applyAlignment="1">
      <alignment horizontal="center"/>
    </xf>
    <xf numFmtId="0" fontId="0" fillId="20" borderId="5" xfId="0" applyFill="1" applyBorder="1" applyAlignment="1">
      <alignment horizontal="center"/>
    </xf>
    <xf numFmtId="0" fontId="0" fillId="7" borderId="4" xfId="0" applyFill="1" applyBorder="1" applyAlignment="1" applyProtection="1">
      <alignment horizontal="center"/>
      <protection locked="0"/>
    </xf>
    <xf numFmtId="0" fontId="0" fillId="7" borderId="6" xfId="0" applyFill="1" applyBorder="1" applyAlignment="1" applyProtection="1">
      <alignment horizontal="center"/>
      <protection locked="0"/>
    </xf>
    <xf numFmtId="0" fontId="0" fillId="7" borderId="108" xfId="0" applyFill="1" applyBorder="1" applyAlignment="1" applyProtection="1">
      <alignment horizontal="center"/>
      <protection locked="0"/>
    </xf>
    <xf numFmtId="0" fontId="0" fillId="20" borderId="24" xfId="0" applyFill="1" applyBorder="1" applyAlignment="1">
      <alignment horizontal="center"/>
    </xf>
    <xf numFmtId="0" fontId="0" fillId="20" borderId="11" xfId="0" applyFill="1" applyBorder="1" applyAlignment="1">
      <alignment horizontal="center"/>
    </xf>
    <xf numFmtId="0" fontId="0" fillId="7" borderId="46" xfId="0" applyFill="1" applyBorder="1" applyAlignment="1" applyProtection="1">
      <alignment horizontal="center"/>
      <protection locked="0"/>
    </xf>
    <xf numFmtId="0" fontId="0" fillId="7" borderId="48" xfId="0" applyFill="1" applyBorder="1" applyAlignment="1" applyProtection="1">
      <alignment horizontal="center"/>
      <protection locked="0"/>
    </xf>
    <xf numFmtId="0" fontId="0" fillId="7" borderId="66" xfId="0" applyFill="1" applyBorder="1" applyAlignment="1" applyProtection="1">
      <alignment horizontal="center"/>
      <protection locked="0"/>
    </xf>
    <xf numFmtId="0" fontId="0" fillId="20" borderId="26" xfId="0" applyFill="1" applyBorder="1" applyAlignment="1">
      <alignment horizontal="center"/>
    </xf>
    <xf numFmtId="0" fontId="0" fillId="20" borderId="1" xfId="0" applyFill="1" applyBorder="1" applyAlignment="1">
      <alignment horizontal="center"/>
    </xf>
    <xf numFmtId="0" fontId="0" fillId="20" borderId="69" xfId="0" applyFill="1" applyBorder="1" applyAlignment="1">
      <alignment horizontal="center"/>
    </xf>
    <xf numFmtId="0" fontId="0" fillId="20" borderId="59" xfId="0" applyFill="1" applyBorder="1" applyAlignment="1">
      <alignment horizontal="center"/>
    </xf>
    <xf numFmtId="0" fontId="0" fillId="7" borderId="8" xfId="0" applyFill="1" applyBorder="1" applyAlignment="1" applyProtection="1">
      <alignment horizontal="center"/>
      <protection locked="0"/>
    </xf>
    <xf numFmtId="0" fontId="0" fillId="7" borderId="9" xfId="0" applyFill="1" applyBorder="1" applyAlignment="1" applyProtection="1">
      <alignment horizontal="center"/>
      <protection locked="0"/>
    </xf>
    <xf numFmtId="0" fontId="0" fillId="7" borderId="1" xfId="0" applyFill="1" applyBorder="1" applyAlignment="1" applyProtection="1">
      <alignment horizontal="center"/>
      <protection locked="0"/>
    </xf>
    <xf numFmtId="0" fontId="0" fillId="7" borderId="17" xfId="0" applyFill="1" applyBorder="1" applyAlignment="1" applyProtection="1">
      <alignment horizontal="center"/>
      <protection locked="0"/>
    </xf>
    <xf numFmtId="0" fontId="0" fillId="7" borderId="11" xfId="0" applyFill="1" applyBorder="1" applyAlignment="1" applyProtection="1">
      <alignment horizontal="center"/>
      <protection locked="0"/>
    </xf>
    <xf numFmtId="0" fontId="0" fillId="7" borderId="12" xfId="0" applyFill="1" applyBorder="1" applyAlignment="1" applyProtection="1">
      <alignment horizontal="center"/>
      <protection locked="0"/>
    </xf>
    <xf numFmtId="38" fontId="33" fillId="10" borderId="73" xfId="0" applyNumberFormat="1" applyFont="1" applyFill="1" applyBorder="1" applyAlignment="1">
      <alignment horizontal="right" vertical="center"/>
    </xf>
    <xf numFmtId="38" fontId="33" fillId="10" borderId="76" xfId="0" applyNumberFormat="1" applyFont="1" applyFill="1" applyBorder="1" applyAlignment="1">
      <alignment horizontal="right" vertical="center"/>
    </xf>
    <xf numFmtId="0" fontId="24" fillId="20" borderId="83" xfId="0" applyFont="1" applyFill="1" applyBorder="1" applyAlignment="1">
      <alignment horizontal="left" vertical="center"/>
    </xf>
    <xf numFmtId="0" fontId="24" fillId="20" borderId="81" xfId="0" applyFont="1" applyFill="1" applyBorder="1" applyAlignment="1">
      <alignment horizontal="left" vertical="center"/>
    </xf>
    <xf numFmtId="0" fontId="24" fillId="20" borderId="74" xfId="0" applyFont="1" applyFill="1" applyBorder="1" applyAlignment="1">
      <alignment horizontal="left" vertical="center"/>
    </xf>
    <xf numFmtId="0" fontId="24" fillId="20" borderId="86" xfId="0" applyFont="1" applyFill="1" applyBorder="1" applyAlignment="1">
      <alignment horizontal="left" vertical="center"/>
    </xf>
    <xf numFmtId="38" fontId="33" fillId="9" borderId="76" xfId="0" applyNumberFormat="1" applyFont="1" applyFill="1" applyBorder="1" applyAlignment="1">
      <alignment horizontal="right" vertical="center"/>
    </xf>
    <xf numFmtId="0" fontId="0" fillId="20" borderId="81" xfId="0" applyFill="1" applyBorder="1" applyAlignment="1">
      <alignment horizontal="left" vertical="center"/>
    </xf>
    <xf numFmtId="0" fontId="24" fillId="20" borderId="72" xfId="0" applyFont="1" applyFill="1" applyBorder="1" applyAlignment="1">
      <alignment horizontal="right" vertical="center"/>
    </xf>
    <xf numFmtId="0" fontId="24" fillId="20" borderId="114" xfId="0" applyFont="1" applyFill="1" applyBorder="1" applyAlignment="1">
      <alignment horizontal="right" vertical="center"/>
    </xf>
    <xf numFmtId="0" fontId="24" fillId="20" borderId="73" xfId="0" applyFont="1" applyFill="1" applyBorder="1" applyAlignment="1">
      <alignment horizontal="right" vertical="center"/>
    </xf>
    <xf numFmtId="0" fontId="24" fillId="20" borderId="84" xfId="0" applyFont="1" applyFill="1" applyBorder="1" applyAlignment="1">
      <alignment horizontal="right" vertical="center"/>
    </xf>
    <xf numFmtId="0" fontId="24" fillId="20" borderId="116" xfId="0" applyFont="1" applyFill="1" applyBorder="1" applyAlignment="1">
      <alignment horizontal="right" vertical="center"/>
    </xf>
    <xf numFmtId="0" fontId="24" fillId="20" borderId="85" xfId="0" applyFont="1" applyFill="1" applyBorder="1" applyAlignment="1">
      <alignment horizontal="right" vertical="center"/>
    </xf>
    <xf numFmtId="0" fontId="23" fillId="20" borderId="30" xfId="0" applyFont="1" applyFill="1" applyBorder="1" applyAlignment="1">
      <alignment horizontal="center" vertical="center" wrapText="1"/>
    </xf>
    <xf numFmtId="0" fontId="23" fillId="20" borderId="114" xfId="0" applyFont="1" applyFill="1" applyBorder="1" applyAlignment="1">
      <alignment horizontal="center" vertical="center" wrapText="1"/>
    </xf>
    <xf numFmtId="0" fontId="23" fillId="20" borderId="119" xfId="0" applyFont="1" applyFill="1" applyBorder="1" applyAlignment="1">
      <alignment horizontal="center" vertical="center" wrapText="1"/>
    </xf>
    <xf numFmtId="0" fontId="23" fillId="20" borderId="115" xfId="0" applyFont="1" applyFill="1" applyBorder="1" applyAlignment="1">
      <alignment horizontal="center" vertical="center" wrapText="1"/>
    </xf>
    <xf numFmtId="0" fontId="0" fillId="20" borderId="58" xfId="0" applyFill="1" applyBorder="1" applyAlignment="1">
      <alignment horizontal="center" vertical="center"/>
    </xf>
    <xf numFmtId="0" fontId="0" fillId="20" borderId="59" xfId="0" applyFill="1" applyBorder="1" applyAlignment="1">
      <alignment horizontal="center" vertical="center"/>
    </xf>
    <xf numFmtId="0" fontId="0" fillId="20" borderId="60" xfId="0" applyFill="1" applyBorder="1" applyAlignment="1">
      <alignment horizontal="center" vertical="center"/>
    </xf>
    <xf numFmtId="0" fontId="0" fillId="20" borderId="21" xfId="0" applyFill="1" applyBorder="1" applyAlignment="1">
      <alignment horizontal="center" vertical="center"/>
    </xf>
    <xf numFmtId="0" fontId="0" fillId="20" borderId="62" xfId="0" applyFill="1" applyBorder="1" applyAlignment="1">
      <alignment horizontal="center" vertical="center"/>
    </xf>
    <xf numFmtId="0" fontId="0" fillId="20" borderId="63" xfId="0" applyFill="1" applyBorder="1" applyAlignment="1">
      <alignment horizontal="center" vertical="center"/>
    </xf>
    <xf numFmtId="0" fontId="0" fillId="20" borderId="6" xfId="0" applyFill="1" applyBorder="1" applyAlignment="1">
      <alignment horizontal="left"/>
    </xf>
    <xf numFmtId="0" fontId="23" fillId="20" borderId="91" xfId="0" applyFont="1" applyFill="1" applyBorder="1" applyAlignment="1">
      <alignment horizontal="center" vertical="center" wrapText="1"/>
    </xf>
    <xf numFmtId="0" fontId="23" fillId="20" borderId="98" xfId="0" applyFont="1" applyFill="1" applyBorder="1" applyAlignment="1">
      <alignment horizontal="center" vertical="center" wrapText="1"/>
    </xf>
    <xf numFmtId="0" fontId="24" fillId="20" borderId="87" xfId="0" applyFont="1" applyFill="1" applyBorder="1" applyAlignment="1">
      <alignment horizontal="right" vertical="center"/>
    </xf>
    <xf numFmtId="0" fontId="24" fillId="20" borderId="117" xfId="0" applyFont="1" applyFill="1" applyBorder="1" applyAlignment="1">
      <alignment horizontal="right" vertical="center"/>
    </xf>
    <xf numFmtId="0" fontId="24" fillId="20" borderId="82" xfId="0" applyFont="1" applyFill="1" applyBorder="1" applyAlignment="1">
      <alignment horizontal="right" vertical="center"/>
    </xf>
    <xf numFmtId="0" fontId="24" fillId="20" borderId="88" xfId="0" applyFont="1" applyFill="1" applyBorder="1" applyAlignment="1">
      <alignment horizontal="right" vertical="center"/>
    </xf>
    <xf numFmtId="0" fontId="24" fillId="20" borderId="118" xfId="0" applyFont="1" applyFill="1" applyBorder="1" applyAlignment="1">
      <alignment horizontal="right" vertical="center"/>
    </xf>
    <xf numFmtId="0" fontId="24" fillId="20" borderId="80" xfId="0" applyFont="1" applyFill="1" applyBorder="1" applyAlignment="1">
      <alignment horizontal="right" vertical="center"/>
    </xf>
    <xf numFmtId="0" fontId="0" fillId="20" borderId="80" xfId="0" applyFill="1" applyBorder="1" applyAlignment="1">
      <alignment horizontal="left" vertical="center"/>
    </xf>
    <xf numFmtId="0" fontId="23" fillId="20" borderId="73" xfId="0" applyFont="1" applyFill="1" applyBorder="1" applyAlignment="1">
      <alignment horizontal="center" vertical="center"/>
    </xf>
    <xf numFmtId="189" fontId="33" fillId="9" borderId="98" xfId="0" applyNumberFormat="1" applyFont="1" applyFill="1" applyBorder="1" applyAlignment="1">
      <alignment horizontal="right" vertical="center"/>
    </xf>
    <xf numFmtId="189" fontId="33" fillId="9" borderId="85" xfId="0" applyNumberFormat="1" applyFont="1" applyFill="1" applyBorder="1" applyAlignment="1">
      <alignment horizontal="right" vertical="center"/>
    </xf>
    <xf numFmtId="0" fontId="0" fillId="20" borderId="98" xfId="0" applyFill="1" applyBorder="1" applyAlignment="1">
      <alignment horizontal="left" vertical="center"/>
    </xf>
    <xf numFmtId="189" fontId="33" fillId="9" borderId="76" xfId="0" applyNumberFormat="1" applyFont="1" applyFill="1" applyBorder="1" applyAlignment="1">
      <alignment horizontal="center" vertical="center"/>
    </xf>
    <xf numFmtId="38" fontId="33" fillId="9" borderId="99" xfId="0" applyNumberFormat="1" applyFont="1" applyFill="1" applyBorder="1" applyAlignment="1">
      <alignment horizontal="right" vertical="center"/>
    </xf>
    <xf numFmtId="38" fontId="33" fillId="9" borderId="91" xfId="0" applyNumberFormat="1" applyFont="1" applyFill="1" applyBorder="1" applyAlignment="1">
      <alignment horizontal="right" vertical="center"/>
    </xf>
    <xf numFmtId="0" fontId="0" fillId="20" borderId="121" xfId="0" applyFill="1" applyBorder="1" applyAlignment="1">
      <alignment horizontal="left" vertical="center"/>
    </xf>
    <xf numFmtId="0" fontId="0" fillId="20" borderId="92" xfId="0" applyFill="1" applyBorder="1" applyAlignment="1">
      <alignment horizontal="left" vertical="center"/>
    </xf>
    <xf numFmtId="38" fontId="33" fillId="9" borderId="78" xfId="0" applyNumberFormat="1" applyFont="1" applyFill="1" applyBorder="1" applyAlignment="1">
      <alignment horizontal="right" vertical="center"/>
    </xf>
    <xf numFmtId="38" fontId="33" fillId="9" borderId="80" xfId="0" applyNumberFormat="1" applyFont="1" applyFill="1" applyBorder="1" applyAlignment="1">
      <alignment horizontal="right" vertical="center"/>
    </xf>
    <xf numFmtId="38" fontId="33" fillId="9" borderId="98" xfId="0" applyNumberFormat="1" applyFont="1" applyFill="1" applyBorder="1" applyAlignment="1">
      <alignment horizontal="right" vertical="center"/>
    </xf>
    <xf numFmtId="0" fontId="0" fillId="20" borderId="123" xfId="0" applyFill="1" applyBorder="1" applyAlignment="1">
      <alignment horizontal="left" vertical="center"/>
    </xf>
    <xf numFmtId="0" fontId="23" fillId="20" borderId="99" xfId="0" applyFont="1" applyFill="1" applyBorder="1" applyAlignment="1">
      <alignment horizontal="center" vertical="center" wrapText="1"/>
    </xf>
    <xf numFmtId="0" fontId="51" fillId="0" borderId="31" xfId="0" applyFont="1" applyBorder="1" applyAlignment="1">
      <alignment vertical="center"/>
    </xf>
    <xf numFmtId="0" fontId="51" fillId="11" borderId="1" xfId="0" applyFont="1" applyFill="1" applyBorder="1" applyAlignment="1">
      <alignment horizontal="center" vertical="center"/>
    </xf>
    <xf numFmtId="0" fontId="17" fillId="2" borderId="4" xfId="0" applyFont="1" applyFill="1" applyBorder="1" applyAlignment="1">
      <alignment horizontal="left" vertical="center" wrapText="1"/>
    </xf>
    <xf numFmtId="0" fontId="17" fillId="2" borderId="6" xfId="0" applyFont="1" applyFill="1" applyBorder="1" applyAlignment="1">
      <alignment horizontal="left" vertical="center" wrapText="1"/>
    </xf>
    <xf numFmtId="0" fontId="17" fillId="2" borderId="5" xfId="0" applyFont="1" applyFill="1" applyBorder="1" applyAlignment="1">
      <alignment horizontal="lef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22" xfId="0" applyBorder="1" applyAlignment="1">
      <alignment horizontal="center" vertical="center"/>
    </xf>
    <xf numFmtId="0" fontId="0" fillId="0" borderId="3" xfId="0" applyBorder="1" applyAlignment="1">
      <alignment horizontal="center" vertical="center"/>
    </xf>
    <xf numFmtId="0" fontId="29" fillId="12" borderId="4" xfId="0" applyFont="1" applyFill="1" applyBorder="1" applyAlignment="1">
      <alignment horizontal="center" vertical="center"/>
    </xf>
    <xf numFmtId="0" fontId="29" fillId="12" borderId="6" xfId="0" applyFont="1" applyFill="1" applyBorder="1" applyAlignment="1">
      <alignment horizontal="center" vertical="center"/>
    </xf>
    <xf numFmtId="0" fontId="29" fillId="12" borderId="5" xfId="0" applyFont="1" applyFill="1" applyBorder="1" applyAlignment="1">
      <alignment horizontal="center" vertical="center"/>
    </xf>
    <xf numFmtId="0" fontId="29" fillId="4" borderId="58" xfId="0" applyFont="1" applyFill="1" applyBorder="1" applyAlignment="1">
      <alignment horizontal="center" vertical="center"/>
    </xf>
    <xf numFmtId="0" fontId="29" fillId="4" borderId="70" xfId="0" applyFont="1" applyFill="1" applyBorder="1" applyAlignment="1">
      <alignment horizontal="center" vertical="center"/>
    </xf>
    <xf numFmtId="0" fontId="29" fillId="11" borderId="4" xfId="0" applyFont="1" applyFill="1" applyBorder="1" applyAlignment="1">
      <alignment horizontal="center"/>
    </xf>
    <xf numFmtId="0" fontId="29" fillId="11" borderId="6" xfId="0" applyFont="1" applyFill="1" applyBorder="1" applyAlignment="1">
      <alignment horizontal="center"/>
    </xf>
    <xf numFmtId="0" fontId="29" fillId="11" borderId="5" xfId="0" applyFont="1" applyFill="1" applyBorder="1" applyAlignment="1">
      <alignment horizontal="center"/>
    </xf>
    <xf numFmtId="0" fontId="0" fillId="0" borderId="1" xfId="0" applyBorder="1" applyAlignment="1">
      <alignment horizontal="center" vertical="center" wrapText="1"/>
    </xf>
    <xf numFmtId="0" fontId="16" fillId="0" borderId="1" xfId="0" applyFont="1" applyBorder="1" applyAlignment="1">
      <alignment horizontal="left" vertical="center" wrapText="1"/>
    </xf>
    <xf numFmtId="0" fontId="17" fillId="11" borderId="1" xfId="0" applyFont="1" applyFill="1" applyBorder="1" applyAlignment="1">
      <alignment horizontal="center" vertical="center" wrapText="1"/>
    </xf>
    <xf numFmtId="0" fontId="58" fillId="0" borderId="1" xfId="0" applyFont="1" applyBorder="1" applyAlignment="1">
      <alignment horizontal="right"/>
    </xf>
    <xf numFmtId="0" fontId="41" fillId="0" borderId="1" xfId="0" applyFont="1" applyBorder="1" applyAlignment="1">
      <alignment horizontal="right"/>
    </xf>
    <xf numFmtId="0" fontId="55" fillId="0" borderId="2" xfId="0" applyFont="1" applyFill="1" applyBorder="1" applyAlignment="1">
      <alignment horizontal="center" vertical="center"/>
    </xf>
    <xf numFmtId="0" fontId="55" fillId="0" borderId="3" xfId="0" applyFont="1" applyFill="1" applyBorder="1" applyAlignment="1">
      <alignment horizontal="center" vertical="center"/>
    </xf>
    <xf numFmtId="0" fontId="55" fillId="0" borderId="1" xfId="0" applyFont="1" applyFill="1" applyBorder="1" applyAlignment="1">
      <alignment horizontal="center" vertical="center"/>
    </xf>
    <xf numFmtId="0" fontId="17" fillId="11" borderId="1" xfId="0" applyFont="1" applyFill="1" applyBorder="1" applyAlignment="1">
      <alignment vertical="center"/>
    </xf>
    <xf numFmtId="0" fontId="16" fillId="0" borderId="1" xfId="0" applyFont="1" applyBorder="1" applyAlignment="1">
      <alignment vertical="center" wrapText="1"/>
    </xf>
    <xf numFmtId="0" fontId="41" fillId="0" borderId="1" xfId="0" applyFont="1" applyBorder="1" applyAlignment="1"/>
    <xf numFmtId="0" fontId="22" fillId="0" borderId="1" xfId="0" applyFont="1" applyFill="1" applyBorder="1" applyAlignment="1">
      <alignment horizontal="center"/>
    </xf>
    <xf numFmtId="0" fontId="41" fillId="0" borderId="1" xfId="0" applyFont="1" applyBorder="1"/>
    <xf numFmtId="0" fontId="60" fillId="7" borderId="1" xfId="0" applyFont="1" applyFill="1" applyBorder="1" applyAlignment="1">
      <alignment horizontal="center" vertical="center"/>
    </xf>
    <xf numFmtId="0" fontId="0" fillId="0" borderId="3" xfId="0" applyFill="1" applyBorder="1" applyAlignment="1">
      <alignment horizontal="center" vertical="center"/>
    </xf>
    <xf numFmtId="0" fontId="60" fillId="9" borderId="1" xfId="0" applyFont="1" applyFill="1" applyBorder="1" applyAlignment="1">
      <alignment horizontal="center" vertical="center"/>
    </xf>
    <xf numFmtId="0" fontId="0" fillId="17" borderId="1" xfId="0" applyFill="1" applyBorder="1" applyAlignment="1">
      <alignment horizontal="center" vertical="center"/>
    </xf>
    <xf numFmtId="0" fontId="0" fillId="17" borderId="1" xfId="0" applyFill="1" applyBorder="1" applyAlignment="1">
      <alignment horizontal="center" vertical="center" wrapText="1"/>
    </xf>
    <xf numFmtId="0" fontId="17" fillId="11" borderId="1" xfId="0" applyFont="1" applyFill="1" applyBorder="1" applyAlignment="1">
      <alignment horizontal="center" vertical="center"/>
    </xf>
    <xf numFmtId="0" fontId="33" fillId="4" borderId="4" xfId="0" applyFont="1" applyFill="1" applyBorder="1" applyAlignment="1">
      <alignment horizontal="center"/>
    </xf>
    <xf numFmtId="0" fontId="33" fillId="4" borderId="6" xfId="0" applyFont="1" applyFill="1" applyBorder="1" applyAlignment="1">
      <alignment horizontal="center"/>
    </xf>
    <xf numFmtId="0" fontId="33" fillId="4" borderId="5" xfId="0" applyFont="1" applyFill="1" applyBorder="1" applyAlignment="1">
      <alignment horizontal="center"/>
    </xf>
    <xf numFmtId="0" fontId="26" fillId="0" borderId="6" xfId="0" applyFont="1" applyBorder="1" applyAlignment="1">
      <alignment horizontal="left"/>
    </xf>
    <xf numFmtId="0" fontId="26" fillId="0" borderId="47" xfId="0" applyFont="1" applyBorder="1" applyAlignment="1">
      <alignment horizontal="left"/>
    </xf>
    <xf numFmtId="0" fontId="0" fillId="7" borderId="1" xfId="0" applyFill="1" applyBorder="1" applyAlignment="1">
      <alignment horizontal="center" vertical="center"/>
    </xf>
    <xf numFmtId="0" fontId="16" fillId="0" borderId="1" xfId="0" applyFont="1" applyBorder="1" applyAlignment="1">
      <alignment horizontal="center" vertical="center"/>
    </xf>
    <xf numFmtId="0" fontId="39" fillId="11" borderId="4" xfId="0" applyFont="1" applyFill="1" applyBorder="1" applyAlignment="1">
      <alignment horizontal="center"/>
    </xf>
    <xf numFmtId="0" fontId="39" fillId="11" borderId="6" xfId="0" applyFont="1" applyFill="1" applyBorder="1" applyAlignment="1">
      <alignment horizontal="center"/>
    </xf>
    <xf numFmtId="0" fontId="39" fillId="11" borderId="5" xfId="0" applyFont="1" applyFill="1"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7" borderId="3" xfId="0" applyFill="1" applyBorder="1" applyAlignment="1">
      <alignment horizontal="center"/>
    </xf>
    <xf numFmtId="0" fontId="33" fillId="12" borderId="4" xfId="0" applyFont="1" applyFill="1" applyBorder="1" applyAlignment="1">
      <alignment horizontal="center"/>
    </xf>
    <xf numFmtId="0" fontId="33" fillId="12" borderId="5" xfId="0" applyFont="1" applyFill="1" applyBorder="1" applyAlignment="1">
      <alignment horizontal="center"/>
    </xf>
    <xf numFmtId="0" fontId="33" fillId="4" borderId="1" xfId="0" applyFont="1" applyFill="1" applyBorder="1" applyAlignment="1">
      <alignment horizontal="center"/>
    </xf>
    <xf numFmtId="0" fontId="61" fillId="11" borderId="1" xfId="0" applyFont="1" applyFill="1" applyBorder="1" applyAlignment="1">
      <alignment horizontal="center" vertical="center"/>
    </xf>
    <xf numFmtId="0" fontId="33" fillId="11" borderId="1" xfId="0" applyFont="1" applyFill="1" applyBorder="1" applyAlignment="1">
      <alignment horizontal="center" vertical="center"/>
    </xf>
    <xf numFmtId="0" fontId="34" fillId="0" borderId="2" xfId="194" applyBorder="1" applyAlignment="1">
      <alignment horizontal="center" vertical="center" wrapText="1"/>
    </xf>
    <xf numFmtId="0" fontId="34" fillId="0" borderId="22" xfId="194" applyBorder="1" applyAlignment="1">
      <alignment horizontal="center" vertical="center" wrapText="1"/>
    </xf>
    <xf numFmtId="0" fontId="34" fillId="0" borderId="3" xfId="194" applyBorder="1" applyAlignment="1">
      <alignment horizontal="center" vertical="center" wrapText="1"/>
    </xf>
    <xf numFmtId="0" fontId="35" fillId="4" borderId="0" xfId="194" applyFont="1" applyFill="1" applyAlignment="1">
      <alignment vertical="center"/>
    </xf>
    <xf numFmtId="0" fontId="35" fillId="4" borderId="0" xfId="194" applyFont="1" applyFill="1" applyBorder="1" applyAlignment="1">
      <alignment vertical="center"/>
    </xf>
    <xf numFmtId="0" fontId="29" fillId="12" borderId="95" xfId="194" applyFont="1" applyFill="1" applyBorder="1" applyAlignment="1">
      <alignment horizontal="center" vertical="center"/>
    </xf>
    <xf numFmtId="0" fontId="29" fillId="12" borderId="96" xfId="194" applyFont="1" applyFill="1" applyBorder="1" applyAlignment="1">
      <alignment horizontal="center" vertical="center"/>
    </xf>
    <xf numFmtId="0" fontId="42" fillId="14" borderId="95" xfId="194" applyFont="1" applyFill="1" applyBorder="1" applyAlignment="1">
      <alignment horizontal="center" vertical="center"/>
    </xf>
    <xf numFmtId="0" fontId="42" fillId="14" borderId="97" xfId="194" applyFont="1" applyFill="1" applyBorder="1" applyAlignment="1">
      <alignment horizontal="center" vertical="center"/>
    </xf>
    <xf numFmtId="0" fontId="42" fillId="14" borderId="96" xfId="194" applyFont="1" applyFill="1" applyBorder="1" applyAlignment="1">
      <alignment horizontal="center" vertical="center"/>
    </xf>
    <xf numFmtId="0" fontId="42" fillId="15" borderId="95" xfId="194" applyFont="1" applyFill="1" applyBorder="1" applyAlignment="1">
      <alignment horizontal="center" vertical="center"/>
    </xf>
    <xf numFmtId="0" fontId="42" fillId="15" borderId="97" xfId="194" applyFont="1" applyFill="1" applyBorder="1" applyAlignment="1">
      <alignment horizontal="center" vertical="center"/>
    </xf>
    <xf numFmtId="0" fontId="42" fillId="15" borderId="96" xfId="194" applyFont="1" applyFill="1" applyBorder="1" applyAlignment="1">
      <alignment horizontal="center" vertical="center"/>
    </xf>
    <xf numFmtId="0" fontId="32" fillId="0" borderId="60" xfId="194" applyFont="1" applyBorder="1" applyAlignment="1">
      <alignment horizontal="left" vertical="center" wrapText="1"/>
    </xf>
    <xf numFmtId="0" fontId="32" fillId="0" borderId="0" xfId="194" applyFont="1" applyBorder="1" applyAlignment="1">
      <alignment horizontal="left" vertical="center" wrapText="1"/>
    </xf>
    <xf numFmtId="0" fontId="34" fillId="16" borderId="1" xfId="194" applyFont="1" applyFill="1" applyBorder="1" applyAlignment="1">
      <alignment horizontal="center" vertical="center"/>
    </xf>
    <xf numFmtId="0" fontId="34" fillId="0" borderId="1" xfId="194" applyBorder="1" applyAlignment="1">
      <alignment horizontal="center" vertical="center"/>
    </xf>
    <xf numFmtId="0" fontId="33" fillId="12" borderId="6" xfId="0" applyFont="1" applyFill="1" applyBorder="1" applyAlignment="1">
      <alignment horizontal="center"/>
    </xf>
    <xf numFmtId="0" fontId="33" fillId="11" borderId="60" xfId="0" applyFont="1" applyFill="1" applyBorder="1" applyAlignment="1">
      <alignment horizontal="center"/>
    </xf>
    <xf numFmtId="0" fontId="33" fillId="11" borderId="0" xfId="0" applyFont="1" applyFill="1" applyBorder="1" applyAlignment="1">
      <alignment horizontal="center"/>
    </xf>
    <xf numFmtId="0" fontId="33" fillId="12" borderId="1" xfId="194" applyFont="1" applyFill="1" applyBorder="1" applyAlignment="1">
      <alignment horizontal="center" vertical="center"/>
    </xf>
    <xf numFmtId="0" fontId="33" fillId="4" borderId="1" xfId="194" applyFont="1" applyFill="1" applyBorder="1" applyAlignment="1">
      <alignment horizontal="center" vertical="center"/>
    </xf>
    <xf numFmtId="0" fontId="35" fillId="0" borderId="2" xfId="194" applyFont="1" applyFill="1" applyBorder="1" applyAlignment="1">
      <alignment horizontal="left" vertical="center"/>
    </xf>
    <xf numFmtId="0" fontId="35" fillId="0" borderId="22" xfId="194" applyFont="1" applyFill="1" applyBorder="1" applyAlignment="1">
      <alignment horizontal="left" vertical="center"/>
    </xf>
    <xf numFmtId="0" fontId="35" fillId="0" borderId="3" xfId="194" applyFont="1" applyFill="1" applyBorder="1" applyAlignment="1">
      <alignment horizontal="left" vertical="center"/>
    </xf>
    <xf numFmtId="0" fontId="14" fillId="0" borderId="3" xfId="194" applyFont="1" applyFill="1" applyBorder="1">
      <alignment vertical="center"/>
    </xf>
    <xf numFmtId="0" fontId="14" fillId="0" borderId="1" xfId="194" applyFont="1" applyFill="1" applyBorder="1">
      <alignment vertical="center"/>
    </xf>
    <xf numFmtId="0" fontId="65" fillId="0" borderId="1" xfId="194" applyFont="1" applyFill="1" applyBorder="1">
      <alignment vertical="center"/>
    </xf>
    <xf numFmtId="0" fontId="65" fillId="0" borderId="1" xfId="194" applyFont="1" applyFill="1" applyBorder="1" applyAlignment="1">
      <alignment vertical="center"/>
    </xf>
    <xf numFmtId="0" fontId="51" fillId="0" borderId="1" xfId="194" applyFont="1" applyBorder="1">
      <alignment vertical="center"/>
    </xf>
    <xf numFmtId="0" fontId="33" fillId="11" borderId="1" xfId="194" applyFont="1" applyFill="1" applyBorder="1" applyAlignment="1">
      <alignment horizontal="center" vertical="center"/>
    </xf>
    <xf numFmtId="0" fontId="10" fillId="16" borderId="1" xfId="277" applyFill="1" applyBorder="1">
      <alignment vertical="center"/>
    </xf>
    <xf numFmtId="0" fontId="24" fillId="0" borderId="87" xfId="0" applyFont="1" applyBorder="1" applyAlignment="1">
      <alignment horizontal="right" vertical="center"/>
    </xf>
    <xf numFmtId="0" fontId="24" fillId="0" borderId="82" xfId="0" applyFont="1" applyBorder="1" applyAlignment="1">
      <alignment horizontal="right" vertical="center"/>
    </xf>
    <xf numFmtId="0" fontId="24" fillId="0" borderId="88" xfId="0" applyFont="1" applyBorder="1" applyAlignment="1">
      <alignment horizontal="right" vertical="center"/>
    </xf>
    <xf numFmtId="0" fontId="24" fillId="0" borderId="80" xfId="0" applyFont="1" applyBorder="1" applyAlignment="1">
      <alignment horizontal="right" vertical="center"/>
    </xf>
    <xf numFmtId="179" fontId="33" fillId="10" borderId="73" xfId="0" applyNumberFormat="1" applyFont="1" applyFill="1" applyBorder="1" applyAlignment="1">
      <alignment horizontal="right" vertical="center"/>
    </xf>
    <xf numFmtId="179" fontId="33" fillId="10" borderId="76" xfId="0" applyNumberFormat="1" applyFont="1" applyFill="1" applyBorder="1" applyAlignment="1">
      <alignment horizontal="right" vertical="center"/>
    </xf>
    <xf numFmtId="0" fontId="24" fillId="0" borderId="83" xfId="0" applyFont="1" applyBorder="1" applyAlignment="1">
      <alignment horizontal="left" vertical="center"/>
    </xf>
    <xf numFmtId="0" fontId="24" fillId="0" borderId="81" xfId="0" applyFont="1" applyBorder="1" applyAlignment="1">
      <alignment horizontal="left" vertical="center"/>
    </xf>
    <xf numFmtId="0" fontId="0" fillId="0" borderId="6" xfId="0" applyBorder="1" applyAlignment="1"/>
    <xf numFmtId="184" fontId="33" fillId="9" borderId="78" xfId="0" applyNumberFormat="1" applyFont="1" applyFill="1" applyBorder="1" applyAlignment="1">
      <alignment horizontal="right" vertical="center"/>
    </xf>
    <xf numFmtId="184" fontId="33" fillId="9" borderId="80" xfId="0" applyNumberFormat="1" applyFont="1" applyFill="1" applyBorder="1" applyAlignment="1">
      <alignment horizontal="right" vertical="center"/>
    </xf>
    <xf numFmtId="0" fontId="0" fillId="0" borderId="79" xfId="0" applyBorder="1" applyAlignment="1">
      <alignment horizontal="left" vertical="center"/>
    </xf>
    <xf numFmtId="0" fontId="0" fillId="0" borderId="81" xfId="0" applyBorder="1" applyAlignment="1">
      <alignment horizontal="left" vertical="center"/>
    </xf>
    <xf numFmtId="0" fontId="0" fillId="0" borderId="92" xfId="0" applyBorder="1" applyAlignment="1">
      <alignment horizontal="left" vertical="center"/>
    </xf>
    <xf numFmtId="0" fontId="0" fillId="0" borderId="94" xfId="0" applyBorder="1" applyAlignment="1">
      <alignment horizontal="left" vertical="center"/>
    </xf>
    <xf numFmtId="0" fontId="32" fillId="0" borderId="0" xfId="0" applyFont="1" applyFill="1" applyBorder="1" applyAlignment="1">
      <alignment horizontal="left" vertical="top" wrapText="1"/>
    </xf>
    <xf numFmtId="0" fontId="24" fillId="0" borderId="72" xfId="0" applyFont="1" applyBorder="1" applyAlignment="1">
      <alignment horizontal="right" vertical="center"/>
    </xf>
    <xf numFmtId="0" fontId="24" fillId="0" borderId="73" xfId="0" applyFont="1" applyBorder="1" applyAlignment="1">
      <alignment horizontal="right" vertical="center"/>
    </xf>
    <xf numFmtId="0" fontId="24" fillId="0" borderId="84" xfId="0" applyFont="1" applyBorder="1" applyAlignment="1">
      <alignment horizontal="right" vertical="center"/>
    </xf>
    <xf numFmtId="0" fontId="24" fillId="0" borderId="85" xfId="0" applyFont="1" applyBorder="1" applyAlignment="1">
      <alignment horizontal="right" vertical="center"/>
    </xf>
    <xf numFmtId="184" fontId="33" fillId="10" borderId="73" xfId="0" applyNumberFormat="1" applyFont="1" applyFill="1" applyBorder="1" applyAlignment="1">
      <alignment horizontal="right" vertical="center"/>
    </xf>
    <xf numFmtId="184" fontId="33" fillId="10" borderId="76" xfId="0" applyNumberFormat="1" applyFont="1" applyFill="1" applyBorder="1" applyAlignment="1">
      <alignment horizontal="right" vertical="center"/>
    </xf>
    <xf numFmtId="0" fontId="24" fillId="0" borderId="74" xfId="0" applyFont="1" applyBorder="1" applyAlignment="1">
      <alignment horizontal="left" vertical="center"/>
    </xf>
    <xf numFmtId="0" fontId="24" fillId="0" borderId="86" xfId="0" applyFont="1" applyBorder="1" applyAlignment="1">
      <alignment horizontal="left" vertical="center"/>
    </xf>
    <xf numFmtId="0" fontId="23" fillId="0" borderId="72" xfId="0" applyFont="1" applyBorder="1" applyAlignment="1">
      <alignment horizontal="center" vertical="center" wrapText="1"/>
    </xf>
    <xf numFmtId="0" fontId="23" fillId="0" borderId="75" xfId="0" applyFont="1" applyBorder="1" applyAlignment="1">
      <alignment horizontal="center" vertical="center" wrapText="1"/>
    </xf>
    <xf numFmtId="0" fontId="23" fillId="0" borderId="73" xfId="0" applyFont="1" applyBorder="1" applyAlignment="1">
      <alignment horizontal="center" vertical="center" wrapText="1"/>
    </xf>
    <xf numFmtId="0" fontId="23" fillId="0" borderId="76" xfId="0" applyFont="1" applyBorder="1" applyAlignment="1">
      <alignment horizontal="center" vertical="center" wrapText="1"/>
    </xf>
    <xf numFmtId="178" fontId="33" fillId="9" borderId="73" xfId="0" applyNumberFormat="1" applyFont="1" applyFill="1" applyBorder="1" applyAlignment="1">
      <alignment horizontal="right" vertical="center"/>
    </xf>
    <xf numFmtId="178" fontId="33" fillId="9" borderId="76" xfId="0" applyNumberFormat="1" applyFont="1" applyFill="1" applyBorder="1" applyAlignment="1">
      <alignment horizontal="center" vertical="center"/>
    </xf>
    <xf numFmtId="0" fontId="0" fillId="0" borderId="78" xfId="0" applyBorder="1" applyAlignment="1">
      <alignment horizontal="left" vertical="center"/>
    </xf>
    <xf numFmtId="0" fontId="0" fillId="0" borderId="80" xfId="0" applyBorder="1" applyAlignment="1">
      <alignment horizontal="left" vertical="center"/>
    </xf>
    <xf numFmtId="184" fontId="33" fillId="9" borderId="73" xfId="0" applyNumberFormat="1" applyFont="1" applyFill="1" applyBorder="1" applyAlignment="1">
      <alignment horizontal="right" vertical="center"/>
    </xf>
    <xf numFmtId="184" fontId="33" fillId="9" borderId="76" xfId="0" applyNumberFormat="1" applyFont="1" applyFill="1" applyBorder="1" applyAlignment="1">
      <alignment horizontal="right" vertical="center"/>
    </xf>
    <xf numFmtId="0" fontId="0" fillId="0" borderId="24" xfId="0" applyBorder="1" applyAlignment="1">
      <alignment horizontal="center"/>
    </xf>
    <xf numFmtId="0" fontId="0" fillId="0" borderId="11" xfId="0" applyBorder="1" applyAlignment="1">
      <alignment horizontal="center"/>
    </xf>
    <xf numFmtId="182" fontId="33" fillId="9" borderId="73" xfId="0" applyNumberFormat="1" applyFont="1" applyFill="1" applyBorder="1" applyAlignment="1">
      <alignment horizontal="right" vertical="center"/>
    </xf>
    <xf numFmtId="182" fontId="33" fillId="9" borderId="76" xfId="0" applyNumberFormat="1" applyFont="1" applyFill="1" applyBorder="1" applyAlignment="1">
      <alignment horizontal="right" vertical="center"/>
    </xf>
    <xf numFmtId="0" fontId="0" fillId="7" borderId="11" xfId="0" applyFill="1" applyBorder="1" applyAlignment="1">
      <alignment horizontal="center"/>
    </xf>
    <xf numFmtId="0" fontId="0" fillId="7" borderId="12" xfId="0" applyFill="1" applyBorder="1" applyAlignment="1">
      <alignment horizontal="center"/>
    </xf>
    <xf numFmtId="178" fontId="33" fillId="9" borderId="76" xfId="0" applyNumberFormat="1" applyFont="1" applyFill="1" applyBorder="1" applyAlignment="1">
      <alignment horizontal="right" vertical="center"/>
    </xf>
    <xf numFmtId="0" fontId="0" fillId="0" borderId="107" xfId="0" applyBorder="1" applyAlignment="1">
      <alignment horizontal="center"/>
    </xf>
    <xf numFmtId="0" fontId="0" fillId="7" borderId="4" xfId="0" applyFill="1" applyBorder="1" applyAlignment="1">
      <alignment horizontal="center"/>
    </xf>
    <xf numFmtId="0" fontId="0" fillId="7" borderId="6" xfId="0" applyFill="1" applyBorder="1" applyAlignment="1">
      <alignment horizontal="center"/>
    </xf>
    <xf numFmtId="0" fontId="0" fillId="7" borderId="108" xfId="0" applyFill="1" applyBorder="1" applyAlignment="1">
      <alignment horizontal="center"/>
    </xf>
    <xf numFmtId="0" fontId="23" fillId="0" borderId="89" xfId="0" applyFont="1" applyBorder="1" applyAlignment="1">
      <alignment horizontal="center" vertical="center" wrapText="1"/>
    </xf>
    <xf numFmtId="0" fontId="23" fillId="0" borderId="91" xfId="0" applyFont="1" applyBorder="1" applyAlignment="1">
      <alignment horizontal="center" vertical="center" wrapText="1"/>
    </xf>
    <xf numFmtId="178" fontId="33" fillId="9" borderId="98" xfId="0" applyNumberFormat="1" applyFont="1" applyFill="1" applyBorder="1" applyAlignment="1">
      <alignment horizontal="right" vertical="center"/>
    </xf>
    <xf numFmtId="0" fontId="0" fillId="0" borderId="91" xfId="0" applyBorder="1" applyAlignment="1">
      <alignment horizontal="left" vertical="center"/>
    </xf>
    <xf numFmtId="0" fontId="0" fillId="0" borderId="93" xfId="0" applyBorder="1" applyAlignment="1">
      <alignment horizontal="left" vertical="center"/>
    </xf>
    <xf numFmtId="184" fontId="33" fillId="9" borderId="91" xfId="0" applyNumberFormat="1" applyFont="1" applyFill="1" applyBorder="1" applyAlignment="1">
      <alignment horizontal="right" vertical="center"/>
    </xf>
    <xf numFmtId="184" fontId="33" fillId="9" borderId="93" xfId="0" applyNumberFormat="1" applyFont="1" applyFill="1" applyBorder="1" applyAlignment="1">
      <alignment horizontal="right" vertical="center"/>
    </xf>
    <xf numFmtId="178" fontId="33" fillId="9" borderId="99" xfId="0" applyNumberFormat="1" applyFont="1" applyFill="1" applyBorder="1" applyAlignment="1">
      <alignment horizontal="right" vertical="center"/>
    </xf>
    <xf numFmtId="0" fontId="0" fillId="0" borderId="26" xfId="0" applyBorder="1" applyAlignment="1">
      <alignment horizontal="center"/>
    </xf>
    <xf numFmtId="0" fontId="0" fillId="0" borderId="1" xfId="0" applyBorder="1" applyAlignment="1">
      <alignment horizontal="center"/>
    </xf>
    <xf numFmtId="0" fontId="0" fillId="7" borderId="1" xfId="0" applyFill="1" applyBorder="1" applyAlignment="1">
      <alignment horizontal="center"/>
    </xf>
    <xf numFmtId="0" fontId="0" fillId="7" borderId="17" xfId="0" applyFill="1" applyBorder="1" applyAlignment="1">
      <alignment horizontal="center"/>
    </xf>
    <xf numFmtId="0" fontId="55" fillId="0" borderId="13" xfId="0" applyFont="1" applyBorder="1" applyAlignment="1">
      <alignment horizontal="center"/>
    </xf>
    <xf numFmtId="0" fontId="0" fillId="0" borderId="8" xfId="0" applyBorder="1" applyAlignment="1">
      <alignment horizontal="center"/>
    </xf>
    <xf numFmtId="0" fontId="0" fillId="7" borderId="8" xfId="0" applyFill="1" applyBorder="1" applyAlignment="1">
      <alignment horizontal="center"/>
    </xf>
    <xf numFmtId="0" fontId="0" fillId="7" borderId="9" xfId="0" applyFill="1" applyBorder="1" applyAlignment="1">
      <alignment horizontal="center"/>
    </xf>
    <xf numFmtId="0" fontId="0" fillId="7" borderId="46" xfId="0" applyFill="1" applyBorder="1" applyAlignment="1">
      <alignment horizontal="center"/>
    </xf>
    <xf numFmtId="0" fontId="0" fillId="7" borderId="48" xfId="0" applyFill="1" applyBorder="1" applyAlignment="1">
      <alignment horizontal="center"/>
    </xf>
    <xf numFmtId="0" fontId="0" fillId="7" borderId="66" xfId="0" applyFill="1" applyBorder="1" applyAlignment="1">
      <alignment horizontal="center"/>
    </xf>
    <xf numFmtId="0" fontId="23" fillId="0" borderId="84" xfId="0" applyFont="1" applyBorder="1" applyAlignment="1">
      <alignment horizontal="center" vertical="center" wrapText="1"/>
    </xf>
    <xf numFmtId="178" fontId="33" fillId="9" borderId="89" xfId="0" applyNumberFormat="1" applyFont="1" applyFill="1" applyBorder="1" applyAlignment="1">
      <alignment horizontal="right" vertical="center"/>
    </xf>
    <xf numFmtId="178" fontId="33" fillId="9" borderId="91" xfId="0" applyNumberFormat="1" applyFont="1" applyFill="1" applyBorder="1" applyAlignment="1">
      <alignment horizontal="right" vertical="center"/>
    </xf>
    <xf numFmtId="0" fontId="0" fillId="0" borderId="89" xfId="0" applyBorder="1" applyAlignment="1">
      <alignment horizontal="left" vertical="center"/>
    </xf>
    <xf numFmtId="184" fontId="33" fillId="9" borderId="89" xfId="0" applyNumberFormat="1" applyFont="1" applyFill="1" applyBorder="1" applyAlignment="1">
      <alignment horizontal="right" vertical="center"/>
    </xf>
    <xf numFmtId="0" fontId="0" fillId="0" borderId="90" xfId="0" applyBorder="1" applyAlignment="1">
      <alignment horizontal="left" vertical="center"/>
    </xf>
    <xf numFmtId="0" fontId="0" fillId="0" borderId="69" xfId="0" applyBorder="1" applyAlignment="1">
      <alignment horizontal="center"/>
    </xf>
    <xf numFmtId="0" fontId="0" fillId="0" borderId="59" xfId="0" applyBorder="1" applyAlignment="1">
      <alignment horizontal="center"/>
    </xf>
    <xf numFmtId="0" fontId="0" fillId="7" borderId="58" xfId="0" applyFill="1" applyBorder="1" applyAlignment="1">
      <alignment horizontal="center"/>
    </xf>
    <xf numFmtId="0" fontId="0" fillId="7" borderId="70" xfId="0" applyFill="1" applyBorder="1" applyAlignment="1">
      <alignment horizontal="center"/>
    </xf>
    <xf numFmtId="0" fontId="0" fillId="7" borderId="71" xfId="0" applyFill="1" applyBorder="1" applyAlignment="1">
      <alignment horizontal="center"/>
    </xf>
    <xf numFmtId="0" fontId="26" fillId="0" borderId="0" xfId="0" applyFont="1" applyAlignment="1">
      <alignment horizontal="left" vertical="center"/>
    </xf>
    <xf numFmtId="0" fontId="23" fillId="4" borderId="72" xfId="0" applyFont="1" applyFill="1" applyBorder="1" applyAlignment="1">
      <alignment horizontal="center" vertical="center" wrapText="1"/>
    </xf>
    <xf numFmtId="0" fontId="23" fillId="4" borderId="75" xfId="0" applyFont="1" applyFill="1" applyBorder="1" applyAlignment="1">
      <alignment horizontal="center" vertical="center" wrapText="1"/>
    </xf>
    <xf numFmtId="0" fontId="0" fillId="0" borderId="64" xfId="0" applyBorder="1" applyAlignment="1">
      <alignment horizontal="center"/>
    </xf>
    <xf numFmtId="0" fontId="0" fillId="0" borderId="61" xfId="0" applyBorder="1" applyAlignment="1">
      <alignment horizontal="center"/>
    </xf>
    <xf numFmtId="0" fontId="0" fillId="7" borderId="65" xfId="0" applyFill="1" applyBorder="1" applyAlignment="1">
      <alignment horizontal="center"/>
    </xf>
    <xf numFmtId="0" fontId="0" fillId="7" borderId="67" xfId="0" applyFill="1" applyBorder="1" applyAlignment="1">
      <alignment horizontal="center"/>
    </xf>
    <xf numFmtId="0" fontId="0" fillId="7" borderId="68" xfId="0" applyFill="1" applyBorder="1" applyAlignment="1">
      <alignment horizontal="center"/>
    </xf>
    <xf numFmtId="0" fontId="77" fillId="2" borderId="64" xfId="0" applyFont="1" applyFill="1" applyBorder="1" applyAlignment="1">
      <alignment horizontal="center" vertical="center" wrapText="1"/>
    </xf>
    <xf numFmtId="0" fontId="77" fillId="2" borderId="61" xfId="0" applyFont="1" applyFill="1" applyBorder="1" applyAlignment="1">
      <alignment horizontal="center" vertical="center" wrapText="1"/>
    </xf>
    <xf numFmtId="0" fontId="77" fillId="7" borderId="69" xfId="0" applyFont="1" applyFill="1" applyBorder="1" applyAlignment="1">
      <alignment horizontal="center" vertical="center" wrapText="1"/>
    </xf>
    <xf numFmtId="0" fontId="77" fillId="7" borderId="59" xfId="0" applyFont="1" applyFill="1" applyBorder="1" applyAlignment="1">
      <alignment horizontal="center" vertical="center" wrapText="1"/>
    </xf>
    <xf numFmtId="0" fontId="77" fillId="7" borderId="32" xfId="0" applyFont="1" applyFill="1" applyBorder="1" applyAlignment="1">
      <alignment horizontal="center" vertical="center" wrapText="1"/>
    </xf>
    <xf numFmtId="0" fontId="77" fillId="7" borderId="21" xfId="0" applyFont="1" applyFill="1" applyBorder="1" applyAlignment="1">
      <alignment horizontal="center" vertical="center" wrapText="1"/>
    </xf>
    <xf numFmtId="0" fontId="77" fillId="7" borderId="113" xfId="0" applyFont="1" applyFill="1" applyBorder="1" applyAlignment="1">
      <alignment horizontal="center" vertical="center" wrapText="1"/>
    </xf>
    <xf numFmtId="0" fontId="77" fillId="7" borderId="63" xfId="0" applyFont="1" applyFill="1" applyBorder="1" applyAlignment="1">
      <alignment horizontal="center" vertical="center" wrapText="1"/>
    </xf>
    <xf numFmtId="0" fontId="77" fillId="9" borderId="69" xfId="0" applyFont="1" applyFill="1" applyBorder="1" applyAlignment="1">
      <alignment horizontal="center" vertical="center" wrapText="1"/>
    </xf>
    <xf numFmtId="0" fontId="77" fillId="9" borderId="59" xfId="0" applyFont="1" applyFill="1" applyBorder="1" applyAlignment="1">
      <alignment horizontal="center" vertical="center" wrapText="1"/>
    </xf>
    <xf numFmtId="0" fontId="77" fillId="9" borderId="32" xfId="0" applyFont="1" applyFill="1" applyBorder="1" applyAlignment="1">
      <alignment horizontal="center" vertical="center" wrapText="1"/>
    </xf>
    <xf numFmtId="0" fontId="77" fillId="9" borderId="21" xfId="0" applyFont="1" applyFill="1" applyBorder="1" applyAlignment="1">
      <alignment horizontal="center" vertical="center" wrapText="1"/>
    </xf>
    <xf numFmtId="0" fontId="77" fillId="9" borderId="113" xfId="0" applyFont="1" applyFill="1" applyBorder="1" applyAlignment="1">
      <alignment horizontal="center" vertical="center" wrapText="1"/>
    </xf>
    <xf numFmtId="0" fontId="77" fillId="9" borderId="63" xfId="0" applyFont="1" applyFill="1" applyBorder="1" applyAlignment="1">
      <alignment horizontal="center" vertical="center" wrapText="1"/>
    </xf>
    <xf numFmtId="0" fontId="77" fillId="12" borderId="14" xfId="0" applyFont="1" applyFill="1" applyBorder="1" applyAlignment="1">
      <alignment horizontal="center" vertical="center" wrapText="1"/>
    </xf>
    <xf numFmtId="0" fontId="77" fillId="12" borderId="16" xfId="0" applyFont="1" applyFill="1" applyBorder="1" applyAlignment="1">
      <alignment horizontal="center" vertical="center" wrapText="1"/>
    </xf>
    <xf numFmtId="0" fontId="77" fillId="12" borderId="27" xfId="0" applyFont="1" applyFill="1" applyBorder="1" applyAlignment="1">
      <alignment horizontal="center" vertical="center" wrapText="1"/>
    </xf>
    <xf numFmtId="0" fontId="77" fillId="11" borderId="26" xfId="0" applyFont="1" applyFill="1" applyBorder="1" applyAlignment="1">
      <alignment horizontal="center" vertical="center"/>
    </xf>
    <xf numFmtId="0" fontId="77" fillId="11" borderId="1" xfId="0" applyFont="1" applyFill="1" applyBorder="1" applyAlignment="1">
      <alignment horizontal="center" vertical="center"/>
    </xf>
    <xf numFmtId="0" fontId="77" fillId="21" borderId="26" xfId="0" applyFont="1" applyFill="1" applyBorder="1" applyAlignment="1">
      <alignment horizontal="center" vertical="center"/>
    </xf>
    <xf numFmtId="0" fontId="77" fillId="21" borderId="1" xfId="0" applyFont="1" applyFill="1" applyBorder="1" applyAlignment="1">
      <alignment horizontal="center" vertical="center"/>
    </xf>
    <xf numFmtId="0" fontId="77" fillId="21" borderId="24" xfId="0" applyFont="1" applyFill="1" applyBorder="1" applyAlignment="1">
      <alignment horizontal="center" vertical="center"/>
    </xf>
    <xf numFmtId="0" fontId="77" fillId="21" borderId="11" xfId="0" applyFont="1" applyFill="1" applyBorder="1" applyAlignment="1">
      <alignment horizontal="center" vertical="center"/>
    </xf>
    <xf numFmtId="0" fontId="33" fillId="11" borderId="0" xfId="194" applyFont="1" applyFill="1" applyAlignment="1">
      <alignment horizontal="center" vertical="center"/>
    </xf>
    <xf numFmtId="0" fontId="33" fillId="4" borderId="47" xfId="194" applyFont="1" applyFill="1" applyBorder="1" applyAlignment="1">
      <alignment horizontal="center" vertical="center"/>
    </xf>
    <xf numFmtId="0" fontId="33" fillId="4" borderId="4" xfId="194" applyFont="1" applyFill="1" applyBorder="1" applyAlignment="1">
      <alignment horizontal="center" vertical="center"/>
    </xf>
    <xf numFmtId="0" fontId="33" fillId="4" borderId="6" xfId="194" applyFont="1" applyFill="1" applyBorder="1" applyAlignment="1">
      <alignment horizontal="center" vertical="center"/>
    </xf>
    <xf numFmtId="0" fontId="33" fillId="4" borderId="5" xfId="194" applyFont="1" applyFill="1" applyBorder="1" applyAlignment="1">
      <alignment horizontal="center" vertical="center"/>
    </xf>
    <xf numFmtId="0" fontId="27" fillId="2" borderId="0" xfId="0" applyFont="1" applyFill="1" applyAlignment="1">
      <alignment horizontal="right"/>
    </xf>
    <xf numFmtId="0" fontId="24" fillId="0" borderId="30" xfId="0" applyFont="1" applyBorder="1" applyAlignment="1">
      <alignment horizontal="right" vertical="center"/>
    </xf>
    <xf numFmtId="0" fontId="24" fillId="0" borderId="31" xfId="0" applyFont="1" applyBorder="1" applyAlignment="1">
      <alignment horizontal="right" vertical="center"/>
    </xf>
    <xf numFmtId="0" fontId="24" fillId="0" borderId="44" xfId="0" applyFont="1" applyBorder="1" applyAlignment="1">
      <alignment horizontal="right" vertical="center"/>
    </xf>
    <xf numFmtId="0" fontId="24" fillId="0" borderId="32" xfId="0" applyFont="1" applyBorder="1" applyAlignment="1">
      <alignment horizontal="right" vertical="center"/>
    </xf>
    <xf numFmtId="0" fontId="24" fillId="0" borderId="0" xfId="0" applyFont="1" applyBorder="1" applyAlignment="1">
      <alignment horizontal="right" vertical="center"/>
    </xf>
    <xf numFmtId="0" fontId="24" fillId="0" borderId="21" xfId="0" applyFont="1" applyBorder="1" applyAlignment="1">
      <alignment horizontal="right" vertical="center"/>
    </xf>
    <xf numFmtId="0" fontId="24" fillId="10" borderId="8" xfId="0" applyFont="1" applyFill="1" applyBorder="1" applyAlignment="1">
      <alignment horizontal="center" vertical="center"/>
    </xf>
    <xf numFmtId="0" fontId="24" fillId="10" borderId="2" xfId="0" applyFont="1" applyFill="1" applyBorder="1" applyAlignment="1">
      <alignment horizontal="center" vertical="center"/>
    </xf>
    <xf numFmtId="0" fontId="24" fillId="0" borderId="29" xfId="0" applyFont="1" applyBorder="1" applyAlignment="1">
      <alignment horizontal="left" vertical="center"/>
    </xf>
    <xf numFmtId="0" fontId="24" fillId="0" borderId="45" xfId="0" applyFont="1" applyBorder="1" applyAlignment="1">
      <alignment horizontal="left" vertical="center"/>
    </xf>
    <xf numFmtId="0" fontId="0" fillId="0" borderId="28" xfId="0" applyBorder="1" applyAlignment="1">
      <alignment horizontal="left" vertical="center"/>
    </xf>
    <xf numFmtId="0" fontId="0" fillId="0" borderId="17" xfId="0" applyBorder="1" applyAlignment="1">
      <alignment horizontal="left" vertical="center"/>
    </xf>
    <xf numFmtId="0" fontId="23" fillId="0" borderId="27"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23" fillId="0" borderId="16" xfId="0" applyFont="1" applyBorder="1" applyAlignment="1">
      <alignment horizontal="center" vertical="center" wrapText="1"/>
    </xf>
    <xf numFmtId="0" fontId="0" fillId="9" borderId="1" xfId="0" applyFill="1" applyBorder="1" applyAlignment="1">
      <alignment horizontal="center"/>
    </xf>
    <xf numFmtId="0" fontId="0" fillId="9" borderId="11" xfId="0" applyFill="1" applyBorder="1" applyAlignment="1">
      <alignment horizontal="center"/>
    </xf>
    <xf numFmtId="0" fontId="0" fillId="9" borderId="2" xfId="0" applyFill="1" applyBorder="1" applyAlignment="1">
      <alignment horizont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25" xfId="0" applyFont="1" applyBorder="1" applyAlignment="1">
      <alignment horizontal="center" vertical="center"/>
    </xf>
    <xf numFmtId="0" fontId="23" fillId="0" borderId="3" xfId="0" applyFont="1" applyBorder="1" applyAlignment="1">
      <alignment horizontal="center" vertical="center"/>
    </xf>
    <xf numFmtId="0" fontId="0" fillId="9" borderId="3" xfId="0" applyFill="1" applyBorder="1" applyAlignment="1">
      <alignment horizont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27"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24" fillId="0" borderId="13" xfId="0" applyFont="1" applyBorder="1" applyAlignment="1">
      <alignment horizontal="right" vertical="center"/>
    </xf>
    <xf numFmtId="0" fontId="24" fillId="0" borderId="8" xfId="0" applyFont="1" applyBorder="1" applyAlignment="1">
      <alignment horizontal="right" vertical="center"/>
    </xf>
    <xf numFmtId="0" fontId="24" fillId="0" borderId="24" xfId="0" applyFont="1" applyBorder="1" applyAlignment="1">
      <alignment horizontal="right" vertical="center"/>
    </xf>
    <xf numFmtId="0" fontId="24" fillId="0" borderId="11" xfId="0" applyFont="1" applyBorder="1" applyAlignment="1">
      <alignment horizontal="right" vertical="center"/>
    </xf>
    <xf numFmtId="0" fontId="23" fillId="0" borderId="10"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4"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22" xfId="0" applyFont="1" applyBorder="1" applyAlignment="1">
      <alignment horizontal="center" vertical="center"/>
    </xf>
    <xf numFmtId="0" fontId="23" fillId="0" borderId="25" xfId="0" applyFont="1" applyBorder="1" applyAlignment="1">
      <alignment horizontal="center" vertical="center"/>
    </xf>
    <xf numFmtId="0" fontId="0" fillId="0" borderId="1" xfId="0" applyFont="1" applyBorder="1" applyAlignment="1">
      <alignment horizontal="center" vertical="center" wrapText="1"/>
    </xf>
    <xf numFmtId="0" fontId="0" fillId="0" borderId="1" xfId="0" applyFont="1" applyBorder="1" applyAlignment="1">
      <alignment horizontal="center" vertical="center"/>
    </xf>
    <xf numFmtId="0" fontId="23" fillId="0" borderId="2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1" xfId="0" applyFont="1" applyBorder="1" applyAlignment="1">
      <alignment horizontal="center" vertical="center" wrapText="1"/>
    </xf>
    <xf numFmtId="0" fontId="0" fillId="0" borderId="15" xfId="0" applyBorder="1" applyAlignment="1">
      <alignment horizontal="left" vertical="center"/>
    </xf>
    <xf numFmtId="0" fontId="0" fillId="0" borderId="22" xfId="0" applyFont="1" applyBorder="1" applyAlignment="1">
      <alignment horizontal="center" vertical="center"/>
    </xf>
    <xf numFmtId="0" fontId="0" fillId="9" borderId="8" xfId="0" applyFill="1" applyBorder="1" applyAlignment="1">
      <alignment horizontal="center"/>
    </xf>
    <xf numFmtId="0" fontId="0" fillId="0" borderId="9" xfId="0" applyBorder="1" applyAlignment="1">
      <alignment horizontal="left" vertical="center"/>
    </xf>
    <xf numFmtId="0" fontId="24" fillId="0" borderId="9" xfId="0" applyFont="1" applyBorder="1" applyAlignment="1">
      <alignment horizontal="left" vertical="center"/>
    </xf>
    <xf numFmtId="0" fontId="24" fillId="0" borderId="12" xfId="0" applyFont="1" applyBorder="1" applyAlignment="1">
      <alignment horizontal="left" vertical="center"/>
    </xf>
    <xf numFmtId="0" fontId="24" fillId="9" borderId="23" xfId="0" applyFont="1" applyFill="1" applyBorder="1" applyAlignment="1">
      <alignment horizontal="center" vertical="center"/>
    </xf>
    <xf numFmtId="0" fontId="24" fillId="9" borderId="25" xfId="0" applyFont="1" applyFill="1" applyBorder="1" applyAlignment="1">
      <alignment horizontal="center" vertical="center"/>
    </xf>
    <xf numFmtId="0" fontId="0" fillId="0" borderId="3" xfId="0" applyFont="1" applyBorder="1" applyAlignment="1">
      <alignment horizontal="center" vertical="center" wrapText="1"/>
    </xf>
    <xf numFmtId="0" fontId="0" fillId="9" borderId="23" xfId="0" applyFill="1" applyBorder="1" applyAlignment="1">
      <alignment horizontal="center"/>
    </xf>
    <xf numFmtId="0" fontId="0" fillId="0" borderId="6" xfId="0" applyBorder="1" applyAlignment="1">
      <alignment horizontal="left"/>
    </xf>
    <xf numFmtId="0" fontId="17" fillId="3" borderId="4"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5" xfId="0" applyFont="1" applyFill="1" applyBorder="1" applyAlignment="1">
      <alignment horizontal="center" vertical="center"/>
    </xf>
    <xf numFmtId="0" fontId="21" fillId="2" borderId="0" xfId="0" applyFont="1" applyFill="1" applyAlignment="1">
      <alignment horizontal="center"/>
    </xf>
    <xf numFmtId="0" fontId="0" fillId="0" borderId="13" xfId="0" applyFill="1" applyBorder="1" applyAlignment="1">
      <alignment horizontal="left" vertical="center"/>
    </xf>
    <xf numFmtId="0" fontId="0" fillId="0" borderId="14" xfId="0" applyFill="1" applyBorder="1" applyAlignment="1">
      <alignment horizontal="left" vertical="center"/>
    </xf>
    <xf numFmtId="0" fontId="17" fillId="3" borderId="2" xfId="0" applyFont="1" applyFill="1" applyBorder="1" applyAlignment="1">
      <alignment horizontal="left" vertical="center"/>
    </xf>
    <xf numFmtId="0" fontId="17" fillId="3" borderId="3" xfId="0" applyFont="1" applyFill="1" applyBorder="1" applyAlignment="1">
      <alignment horizontal="left" vertical="center"/>
    </xf>
    <xf numFmtId="176" fontId="22" fillId="0" borderId="1" xfId="0" applyNumberFormat="1" applyFont="1" applyBorder="1" applyAlignment="1">
      <alignment horizontal="center"/>
    </xf>
    <xf numFmtId="176" fontId="0" fillId="0" borderId="4" xfId="0" applyNumberFormat="1" applyBorder="1" applyAlignment="1">
      <alignment horizontal="center"/>
    </xf>
    <xf numFmtId="176" fontId="0" fillId="0" borderId="5" xfId="0" applyNumberFormat="1" applyBorder="1" applyAlignment="1">
      <alignment horizontal="center"/>
    </xf>
    <xf numFmtId="176" fontId="0" fillId="0" borderId="1" xfId="0" applyNumberFormat="1" applyBorder="1" applyAlignment="1">
      <alignment horizontal="center"/>
    </xf>
    <xf numFmtId="179" fontId="0" fillId="7" borderId="49" xfId="0" applyNumberFormat="1" applyFill="1" applyBorder="1" applyAlignment="1">
      <alignment horizontal="center" vertical="center"/>
    </xf>
    <xf numFmtId="179" fontId="0" fillId="7" borderId="52" xfId="0" applyNumberFormat="1" applyFill="1" applyBorder="1" applyAlignment="1">
      <alignment horizontal="center" vertical="center"/>
    </xf>
    <xf numFmtId="180" fontId="0" fillId="7" borderId="50" xfId="0" applyNumberFormat="1" applyFill="1" applyBorder="1" applyAlignment="1">
      <alignment horizontal="center" vertical="center"/>
    </xf>
    <xf numFmtId="180" fontId="0" fillId="7" borderId="53" xfId="0" applyNumberFormat="1" applyFill="1" applyBorder="1" applyAlignment="1">
      <alignment horizontal="center" vertical="center"/>
    </xf>
    <xf numFmtId="180" fontId="0" fillId="7" borderId="51" xfId="0" applyNumberFormat="1" applyFill="1" applyBorder="1" applyAlignment="1">
      <alignment horizontal="center" vertical="center"/>
    </xf>
    <xf numFmtId="0" fontId="68" fillId="20" borderId="0" xfId="0" applyFont="1" applyFill="1"/>
    <xf numFmtId="0" fontId="28" fillId="20" borderId="0" xfId="0" applyFont="1" applyFill="1"/>
    <xf numFmtId="3" fontId="0" fillId="20" borderId="0" xfId="0" applyNumberFormat="1" applyFill="1"/>
    <xf numFmtId="0" fontId="0" fillId="20" borderId="0" xfId="0" applyFill="1" applyAlignment="1">
      <alignment horizontal="center"/>
    </xf>
    <xf numFmtId="180" fontId="0" fillId="20" borderId="0" xfId="0" applyNumberFormat="1" applyFill="1" applyBorder="1" applyAlignment="1">
      <alignment horizontal="center" vertical="center"/>
    </xf>
    <xf numFmtId="0" fontId="34" fillId="20" borderId="1" xfId="194" applyFill="1" applyBorder="1">
      <alignment vertical="center"/>
    </xf>
    <xf numFmtId="181" fontId="0" fillId="20" borderId="0" xfId="0" applyNumberFormat="1" applyFill="1" applyBorder="1" applyAlignment="1">
      <alignment horizontal="center" vertical="center"/>
    </xf>
    <xf numFmtId="0" fontId="9" fillId="20" borderId="0" xfId="278" applyFill="1" applyAlignment="1">
      <alignment vertical="top"/>
    </xf>
    <xf numFmtId="0" fontId="67" fillId="20" borderId="0" xfId="278" applyFont="1" applyFill="1" applyBorder="1">
      <alignment vertical="center"/>
    </xf>
    <xf numFmtId="0" fontId="9" fillId="20" borderId="0" xfId="278" applyFill="1" applyBorder="1">
      <alignment vertical="center"/>
    </xf>
    <xf numFmtId="0" fontId="60" fillId="20" borderId="0" xfId="278" applyFont="1" applyFill="1" applyBorder="1" applyAlignment="1">
      <alignment vertical="top"/>
    </xf>
    <xf numFmtId="0" fontId="9" fillId="20" borderId="0" xfId="278" applyFill="1" applyBorder="1" applyAlignment="1">
      <alignment horizontal="right" vertical="top"/>
    </xf>
    <xf numFmtId="0" fontId="9" fillId="20" borderId="0" xfId="278" applyFill="1" applyBorder="1" applyAlignment="1">
      <alignment vertical="top"/>
    </xf>
    <xf numFmtId="0" fontId="3" fillId="20" borderId="0" xfId="278" applyFont="1" applyFill="1" applyBorder="1" applyAlignment="1">
      <alignment vertical="top"/>
    </xf>
    <xf numFmtId="0" fontId="9" fillId="20" borderId="0" xfId="278" applyFill="1" applyBorder="1" applyAlignment="1">
      <alignment horizontal="right" vertical="center"/>
    </xf>
    <xf numFmtId="0" fontId="64" fillId="20" borderId="0" xfId="278" applyFont="1" applyFill="1" applyBorder="1" applyAlignment="1">
      <alignment horizontal="right" vertical="center"/>
    </xf>
    <xf numFmtId="0" fontId="52" fillId="20" borderId="0" xfId="262" applyFont="1" applyFill="1" applyBorder="1" applyAlignment="1"/>
    <xf numFmtId="0" fontId="51" fillId="2" borderId="1" xfId="0" applyFont="1" applyFill="1" applyBorder="1" applyAlignment="1">
      <alignment horizontal="center" vertical="center" wrapText="1"/>
    </xf>
    <xf numFmtId="0" fontId="51" fillId="2" borderId="1" xfId="0" applyFont="1" applyFill="1" applyBorder="1" applyAlignment="1">
      <alignment horizontal="center" vertical="center" wrapText="1"/>
    </xf>
    <xf numFmtId="0" fontId="73" fillId="11" borderId="1" xfId="0" applyFont="1" applyFill="1" applyBorder="1" applyAlignment="1">
      <alignment horizontal="left" vertical="center" wrapText="1" indent="1"/>
    </xf>
    <xf numFmtId="0" fontId="51" fillId="7" borderId="109" xfId="0" applyFont="1" applyFill="1" applyBorder="1" applyAlignment="1">
      <alignment horizontal="center" vertical="center" wrapText="1"/>
    </xf>
    <xf numFmtId="0" fontId="51" fillId="7" borderId="109" xfId="0" applyFont="1" applyFill="1" applyBorder="1" applyAlignment="1">
      <alignment horizontal="left" vertical="center" wrapText="1" indent="1"/>
    </xf>
    <xf numFmtId="0" fontId="51" fillId="7" borderId="110" xfId="0" applyFont="1" applyFill="1" applyBorder="1" applyAlignment="1">
      <alignment horizontal="center" vertical="center" wrapText="1"/>
    </xf>
    <xf numFmtId="0" fontId="51" fillId="7" borderId="110" xfId="0" applyFont="1" applyFill="1" applyBorder="1" applyAlignment="1">
      <alignment horizontal="left" vertical="center" wrapText="1" indent="1"/>
    </xf>
    <xf numFmtId="0" fontId="51" fillId="9" borderId="109" xfId="0" applyFont="1" applyFill="1" applyBorder="1" applyAlignment="1">
      <alignment horizontal="center" vertical="center" wrapText="1"/>
    </xf>
    <xf numFmtId="0" fontId="51" fillId="9" borderId="109" xfId="0" applyFont="1" applyFill="1" applyBorder="1" applyAlignment="1">
      <alignment horizontal="left" vertical="center" wrapText="1" indent="1"/>
    </xf>
    <xf numFmtId="0" fontId="51" fillId="9" borderId="53" xfId="0" applyFont="1" applyFill="1" applyBorder="1" applyAlignment="1">
      <alignment horizontal="center" vertical="center" wrapText="1"/>
    </xf>
    <xf numFmtId="0" fontId="51" fillId="9" borderId="53" xfId="0" applyFont="1" applyFill="1" applyBorder="1" applyAlignment="1">
      <alignment horizontal="left" vertical="center" wrapText="1" indent="1"/>
    </xf>
    <xf numFmtId="0" fontId="51" fillId="9" borderId="110" xfId="0" applyFont="1" applyFill="1" applyBorder="1" applyAlignment="1">
      <alignment horizontal="center" vertical="center" wrapText="1"/>
    </xf>
    <xf numFmtId="0" fontId="51" fillId="9" borderId="110" xfId="0" applyFont="1" applyFill="1" applyBorder="1" applyAlignment="1">
      <alignment horizontal="left" vertical="center" wrapText="1" indent="1"/>
    </xf>
    <xf numFmtId="0" fontId="3" fillId="12" borderId="109" xfId="0" applyFont="1" applyFill="1" applyBorder="1" applyAlignment="1">
      <alignment horizontal="center" vertical="center" wrapText="1"/>
    </xf>
    <xf numFmtId="0" fontId="51" fillId="12" borderId="109" xfId="0" applyFont="1" applyFill="1" applyBorder="1" applyAlignment="1">
      <alignment horizontal="left" vertical="center" wrapText="1"/>
    </xf>
    <xf numFmtId="0" fontId="51" fillId="12" borderId="109" xfId="0" applyFont="1" applyFill="1" applyBorder="1" applyAlignment="1">
      <alignment horizontal="left" vertical="center" wrapText="1" indent="1"/>
    </xf>
    <xf numFmtId="0" fontId="7" fillId="12" borderId="53" xfId="0" applyFont="1" applyFill="1" applyBorder="1" applyAlignment="1">
      <alignment horizontal="center" vertical="center" wrapText="1"/>
    </xf>
    <xf numFmtId="0" fontId="51" fillId="12" borderId="53" xfId="0" applyFont="1" applyFill="1" applyBorder="1" applyAlignment="1">
      <alignment horizontal="left" vertical="center" wrapText="1"/>
    </xf>
    <xf numFmtId="0" fontId="36" fillId="12" borderId="53" xfId="0" applyFont="1" applyFill="1" applyBorder="1" applyAlignment="1">
      <alignment horizontal="left" vertical="center" wrapText="1" indent="1"/>
    </xf>
    <xf numFmtId="0" fontId="51" fillId="12" borderId="53" xfId="0" applyFont="1" applyFill="1" applyBorder="1" applyAlignment="1">
      <alignment horizontal="left" vertical="center" wrapText="1" indent="1"/>
    </xf>
    <xf numFmtId="0" fontId="7" fillId="12" borderId="110" xfId="0" applyFont="1" applyFill="1" applyBorder="1" applyAlignment="1">
      <alignment horizontal="center" vertical="center" wrapText="1"/>
    </xf>
    <xf numFmtId="0" fontId="51" fillId="12" borderId="110" xfId="0" applyFont="1" applyFill="1" applyBorder="1" applyAlignment="1">
      <alignment horizontal="left" vertical="center" wrapText="1"/>
    </xf>
    <xf numFmtId="0" fontId="51" fillId="12" borderId="110" xfId="0" applyFont="1" applyFill="1" applyBorder="1" applyAlignment="1">
      <alignment horizontal="left" vertical="center" wrapText="1" indent="1"/>
    </xf>
    <xf numFmtId="0" fontId="51" fillId="21" borderId="109" xfId="0" applyFont="1" applyFill="1" applyBorder="1" applyAlignment="1">
      <alignment horizontal="center" vertical="center"/>
    </xf>
    <xf numFmtId="0" fontId="73" fillId="21" borderId="109" xfId="0" applyFont="1" applyFill="1" applyBorder="1" applyAlignment="1">
      <alignment horizontal="left" vertical="center" wrapText="1" indent="1"/>
    </xf>
    <xf numFmtId="0" fontId="51" fillId="21" borderId="110" xfId="0" applyFont="1" applyFill="1" applyBorder="1" applyAlignment="1">
      <alignment horizontal="center" vertical="center"/>
    </xf>
    <xf numFmtId="0" fontId="73" fillId="21" borderId="110" xfId="0" applyFont="1" applyFill="1" applyBorder="1" applyAlignment="1">
      <alignment horizontal="left" vertical="center" wrapText="1" indent="1"/>
    </xf>
    <xf numFmtId="0" fontId="51" fillId="20" borderId="0" xfId="0" applyFont="1" applyFill="1" applyAlignment="1">
      <alignment vertical="center"/>
    </xf>
    <xf numFmtId="0" fontId="51" fillId="20" borderId="0" xfId="0" applyFont="1" applyFill="1" applyBorder="1" applyAlignment="1">
      <alignment vertical="center"/>
    </xf>
    <xf numFmtId="0" fontId="1" fillId="20" borderId="0" xfId="278" applyFont="1" applyFill="1" applyBorder="1" applyAlignment="1">
      <alignment vertical="top"/>
    </xf>
    <xf numFmtId="0" fontId="1" fillId="20" borderId="0" xfId="278" applyFont="1" applyFill="1" applyBorder="1" applyAlignment="1">
      <alignment vertical="top" wrapText="1"/>
    </xf>
    <xf numFmtId="0" fontId="9" fillId="2" borderId="0" xfId="278" applyFill="1">
      <alignment vertical="center"/>
    </xf>
    <xf numFmtId="0" fontId="60" fillId="2" borderId="0" xfId="278" applyFont="1" applyFill="1" applyAlignment="1">
      <alignment vertical="top"/>
    </xf>
    <xf numFmtId="0" fontId="9" fillId="2" borderId="0" xfId="278" applyFill="1" applyAlignment="1">
      <alignment vertical="top"/>
    </xf>
    <xf numFmtId="0" fontId="55" fillId="20" borderId="0" xfId="0" applyFont="1" applyFill="1"/>
    <xf numFmtId="0" fontId="55" fillId="20" borderId="0" xfId="0" applyFont="1" applyFill="1" applyAlignment="1">
      <alignment horizontal="left"/>
    </xf>
    <xf numFmtId="0" fontId="55" fillId="20" borderId="0" xfId="0" applyFont="1" applyFill="1" applyAlignment="1">
      <alignment wrapText="1"/>
    </xf>
    <xf numFmtId="0" fontId="55" fillId="2" borderId="0" xfId="0" applyFont="1" applyFill="1"/>
    <xf numFmtId="0" fontId="55" fillId="20" borderId="0" xfId="0" applyFont="1" applyFill="1" applyAlignment="1">
      <alignment vertical="center"/>
    </xf>
    <xf numFmtId="0" fontId="55" fillId="2" borderId="0" xfId="0" applyFont="1" applyFill="1" applyAlignment="1">
      <alignment vertical="center"/>
    </xf>
    <xf numFmtId="0" fontId="55" fillId="2" borderId="0" xfId="0" applyFont="1" applyFill="1" applyAlignment="1">
      <alignment horizontal="left"/>
    </xf>
    <xf numFmtId="0" fontId="55" fillId="2" borderId="0" xfId="0" applyFont="1" applyFill="1" applyAlignment="1">
      <alignment wrapText="1"/>
    </xf>
    <xf numFmtId="0" fontId="51" fillId="2" borderId="0" xfId="0" applyFont="1" applyFill="1" applyAlignment="1">
      <alignment vertical="center"/>
    </xf>
    <xf numFmtId="0" fontId="51" fillId="2" borderId="0" xfId="0" applyFont="1" applyFill="1" applyAlignment="1">
      <alignment horizontal="left" vertical="center" wrapText="1"/>
    </xf>
    <xf numFmtId="0" fontId="51" fillId="2" borderId="0" xfId="0" applyFont="1" applyFill="1" applyAlignment="1">
      <alignment vertical="center" wrapText="1"/>
    </xf>
    <xf numFmtId="0" fontId="67" fillId="20" borderId="0" xfId="0" applyFont="1" applyFill="1"/>
    <xf numFmtId="0" fontId="51" fillId="7" borderId="13" xfId="0" applyFont="1" applyFill="1" applyBorder="1" applyAlignment="1">
      <alignment horizontal="center" vertical="center"/>
    </xf>
    <xf numFmtId="0" fontId="51" fillId="7" borderId="8" xfId="0" applyFont="1" applyFill="1" applyBorder="1" applyAlignment="1">
      <alignment horizontal="center" vertical="center"/>
    </xf>
    <xf numFmtId="0" fontId="51" fillId="7" borderId="8" xfId="0" applyFont="1" applyFill="1" applyBorder="1" applyAlignment="1">
      <alignment horizontal="center" vertical="center"/>
    </xf>
    <xf numFmtId="0" fontId="51" fillId="7" borderId="8" xfId="0" applyFont="1" applyFill="1" applyBorder="1" applyAlignment="1">
      <alignment horizontal="center" vertical="center" wrapText="1"/>
    </xf>
    <xf numFmtId="0" fontId="51" fillId="7" borderId="9" xfId="0" applyFont="1" applyFill="1" applyBorder="1" applyAlignment="1">
      <alignment horizontal="center" vertical="center" wrapText="1"/>
    </xf>
    <xf numFmtId="0" fontId="51" fillId="20" borderId="14" xfId="0" applyFont="1" applyFill="1" applyBorder="1" applyAlignment="1">
      <alignment horizontal="center" vertical="center"/>
    </xf>
    <xf numFmtId="0" fontId="51" fillId="20" borderId="2" xfId="0" applyFont="1" applyFill="1" applyBorder="1" applyAlignment="1">
      <alignment horizontal="center" vertical="center"/>
    </xf>
    <xf numFmtId="0" fontId="51" fillId="20" borderId="102" xfId="0" applyFont="1" applyFill="1" applyBorder="1" applyAlignment="1">
      <alignment horizontal="left" vertical="center"/>
    </xf>
    <xf numFmtId="186" fontId="51" fillId="20" borderId="102" xfId="0" applyNumberFormat="1" applyFont="1" applyFill="1" applyBorder="1" applyAlignment="1">
      <alignment vertical="center"/>
    </xf>
    <xf numFmtId="0" fontId="51" fillId="20" borderId="102" xfId="0" applyFont="1" applyFill="1" applyBorder="1" applyAlignment="1">
      <alignment vertical="center"/>
    </xf>
    <xf numFmtId="0" fontId="36" fillId="20" borderId="103" xfId="0" applyFont="1" applyFill="1" applyBorder="1" applyAlignment="1">
      <alignment horizontal="left" vertical="center" wrapText="1"/>
    </xf>
    <xf numFmtId="0" fontId="51" fillId="20" borderId="14" xfId="0" applyFont="1" applyFill="1" applyBorder="1" applyAlignment="1">
      <alignment horizontal="center" vertical="center"/>
    </xf>
    <xf numFmtId="0" fontId="51" fillId="20" borderId="1" xfId="0" applyFont="1" applyFill="1" applyBorder="1" applyAlignment="1">
      <alignment horizontal="center" vertical="center"/>
    </xf>
    <xf numFmtId="0" fontId="51" fillId="20" borderId="1" xfId="0" applyFont="1" applyFill="1" applyBorder="1" applyAlignment="1">
      <alignment horizontal="left" vertical="center"/>
    </xf>
    <xf numFmtId="186" fontId="51" fillId="20" borderId="1" xfId="276" applyNumberFormat="1" applyFont="1" applyFill="1" applyBorder="1" applyAlignment="1">
      <alignment vertical="center"/>
    </xf>
    <xf numFmtId="0" fontId="51" fillId="20" borderId="1" xfId="276" applyFont="1" applyFill="1" applyBorder="1" applyAlignment="1">
      <alignment vertical="center"/>
    </xf>
    <xf numFmtId="0" fontId="36" fillId="20" borderId="17" xfId="0" applyFont="1" applyFill="1" applyBorder="1" applyAlignment="1">
      <alignment horizontal="left" vertical="center" wrapText="1"/>
    </xf>
    <xf numFmtId="0" fontId="51" fillId="20" borderId="16" xfId="0" applyFont="1" applyFill="1" applyBorder="1" applyAlignment="1">
      <alignment horizontal="center" vertical="center"/>
    </xf>
    <xf numFmtId="0" fontId="51" fillId="20" borderId="27" xfId="0" applyFont="1" applyFill="1" applyBorder="1" applyAlignment="1">
      <alignment horizontal="center" vertical="center"/>
    </xf>
    <xf numFmtId="0" fontId="51" fillId="20" borderId="26" xfId="0" applyFont="1" applyFill="1" applyBorder="1" applyAlignment="1">
      <alignment horizontal="center" vertical="center"/>
    </xf>
    <xf numFmtId="0" fontId="51" fillId="20" borderId="2" xfId="0" applyFont="1" applyFill="1" applyBorder="1" applyAlignment="1">
      <alignment horizontal="left" vertical="center"/>
    </xf>
    <xf numFmtId="186" fontId="51" fillId="20" borderId="111" xfId="0" applyNumberFormat="1" applyFont="1" applyFill="1" applyBorder="1" applyAlignment="1">
      <alignment vertical="center"/>
    </xf>
    <xf numFmtId="0" fontId="51" fillId="20" borderId="2" xfId="0" applyFont="1" applyFill="1" applyBorder="1" applyAlignment="1">
      <alignment vertical="center"/>
    </xf>
    <xf numFmtId="0" fontId="36" fillId="20" borderId="15" xfId="0" applyFont="1" applyFill="1" applyBorder="1" applyAlignment="1">
      <alignment horizontal="left" vertical="center" wrapText="1"/>
    </xf>
    <xf numFmtId="0" fontId="51" fillId="20" borderId="14" xfId="0" applyFont="1" applyFill="1" applyBorder="1" applyAlignment="1">
      <alignment horizontal="center" vertical="center" wrapText="1"/>
    </xf>
    <xf numFmtId="0" fontId="51" fillId="20" borderId="2" xfId="0" applyFont="1" applyFill="1" applyBorder="1" applyAlignment="1">
      <alignment horizontal="center" vertical="center" wrapText="1"/>
    </xf>
    <xf numFmtId="0" fontId="51" fillId="20" borderId="104" xfId="0" applyFont="1" applyFill="1" applyBorder="1" applyAlignment="1">
      <alignment horizontal="left" vertical="center"/>
    </xf>
    <xf numFmtId="0" fontId="51" fillId="20" borderId="100" xfId="0" applyFont="1" applyFill="1" applyBorder="1" applyAlignment="1">
      <alignment horizontal="center" vertical="center"/>
    </xf>
    <xf numFmtId="186" fontId="51" fillId="20" borderId="100" xfId="0" applyNumberFormat="1" applyFont="1" applyFill="1" applyBorder="1" applyAlignment="1">
      <alignment vertical="center"/>
    </xf>
    <xf numFmtId="0" fontId="51" fillId="20" borderId="100" xfId="0" applyFont="1" applyFill="1" applyBorder="1" applyAlignment="1">
      <alignment vertical="center"/>
    </xf>
    <xf numFmtId="0" fontId="51" fillId="20" borderId="101" xfId="0" applyFont="1" applyFill="1" applyBorder="1" applyAlignment="1">
      <alignment vertical="center" wrapText="1"/>
    </xf>
    <xf numFmtId="0" fontId="51" fillId="20" borderId="10" xfId="0" applyFont="1" applyFill="1" applyBorder="1" applyAlignment="1">
      <alignment horizontal="center" vertical="center" wrapText="1"/>
    </xf>
    <xf numFmtId="0" fontId="51" fillId="20" borderId="25" xfId="0" applyFont="1" applyFill="1" applyBorder="1" applyAlignment="1">
      <alignment horizontal="center" vertical="center" wrapText="1"/>
    </xf>
    <xf numFmtId="0" fontId="51" fillId="20" borderId="106" xfId="0" applyFont="1" applyFill="1" applyBorder="1" applyAlignment="1">
      <alignment horizontal="left" vertical="center"/>
    </xf>
    <xf numFmtId="0" fontId="51" fillId="20" borderId="105" xfId="0" applyFont="1" applyFill="1" applyBorder="1" applyAlignment="1">
      <alignment horizontal="center" vertical="center"/>
    </xf>
    <xf numFmtId="186" fontId="51" fillId="20" borderId="105" xfId="0" applyNumberFormat="1" applyFont="1" applyFill="1" applyBorder="1" applyAlignment="1">
      <alignment vertical="center"/>
    </xf>
    <xf numFmtId="0" fontId="51" fillId="20" borderId="105" xfId="0" applyFont="1" applyFill="1" applyBorder="1" applyAlignment="1">
      <alignment vertical="center"/>
    </xf>
    <xf numFmtId="0" fontId="51" fillId="20" borderId="112" xfId="0" applyFont="1" applyFill="1" applyBorder="1" applyAlignment="1">
      <alignment vertical="center" wrapText="1"/>
    </xf>
    <xf numFmtId="0" fontId="27" fillId="20" borderId="0" xfId="0" applyFont="1" applyFill="1" applyAlignment="1">
      <alignment horizontal="left" vertical="center"/>
    </xf>
    <xf numFmtId="0" fontId="27" fillId="20" borderId="0" xfId="0" applyFont="1" applyFill="1" applyAlignment="1">
      <alignment horizontal="left" wrapText="1"/>
    </xf>
    <xf numFmtId="0" fontId="27" fillId="20" borderId="0" xfId="0" applyFont="1" applyFill="1" applyAlignment="1">
      <alignment horizontal="left" vertical="center" wrapText="1"/>
    </xf>
    <xf numFmtId="0" fontId="27" fillId="20" borderId="0" xfId="0" applyFont="1" applyFill="1" applyAlignment="1">
      <alignment horizontal="justify" vertical="center"/>
    </xf>
    <xf numFmtId="0" fontId="27" fillId="20" borderId="0" xfId="0" applyFont="1" applyFill="1"/>
    <xf numFmtId="0" fontId="1" fillId="20" borderId="0" xfId="278" applyFont="1" applyFill="1" applyBorder="1">
      <alignment vertical="center"/>
    </xf>
    <xf numFmtId="0" fontId="70" fillId="20" borderId="0" xfId="278" applyFont="1" applyFill="1" applyBorder="1">
      <alignment vertical="center"/>
    </xf>
    <xf numFmtId="0" fontId="51" fillId="20" borderId="0" xfId="278" applyFont="1" applyFill="1" applyBorder="1" applyAlignment="1">
      <alignment horizontal="left" vertical="center" indent="1"/>
    </xf>
    <xf numFmtId="0" fontId="60" fillId="20" borderId="0" xfId="278" applyFont="1" applyFill="1" applyBorder="1" applyAlignment="1">
      <alignment vertical="top"/>
    </xf>
  </cellXfs>
  <cellStyles count="279">
    <cellStyle name="ハイパーリンク" xfId="1" builtinId="8" hidden="1"/>
    <cellStyle name="ハイパーリンク" xfId="3" builtinId="8" hidden="1"/>
    <cellStyle name="ハイパーリンク" xfId="5" builtinId="8" hidden="1"/>
    <cellStyle name="ハイパーリンク" xfId="7" builtinId="8" hidden="1"/>
    <cellStyle name="ハイパーリンク" xfId="9" builtinId="8" hidden="1"/>
    <cellStyle name="ハイパーリンク" xfId="11" builtinId="8" hidden="1"/>
    <cellStyle name="ハイパーリンク" xfId="13" builtinId="8" hidden="1"/>
    <cellStyle name="ハイパーリンク" xfId="15" builtinId="8" hidden="1"/>
    <cellStyle name="ハイパーリンク" xfId="17" builtinId="8" hidden="1"/>
    <cellStyle name="ハイパーリンク" xfId="19" builtinId="8" hidden="1"/>
    <cellStyle name="ハイパーリンク" xfId="21" builtinId="8" hidden="1"/>
    <cellStyle name="ハイパーリンク" xfId="23" builtinId="8" hidden="1"/>
    <cellStyle name="ハイパーリンク" xfId="25" builtinId="8" hidden="1"/>
    <cellStyle name="ハイパーリンク" xfId="27" builtinId="8" hidden="1"/>
    <cellStyle name="ハイパーリンク" xfId="29" builtinId="8" hidden="1"/>
    <cellStyle name="ハイパーリンク" xfId="31" builtinId="8" hidden="1"/>
    <cellStyle name="ハイパーリンク" xfId="33" builtinId="8" hidden="1"/>
    <cellStyle name="ハイパーリンク" xfId="35" builtinId="8" hidden="1"/>
    <cellStyle name="ハイパーリンク" xfId="37" builtinId="8" hidden="1"/>
    <cellStyle name="ハイパーリンク" xfId="39" builtinId="8" hidden="1"/>
    <cellStyle name="ハイパーリンク" xfId="41" builtinId="8" hidden="1"/>
    <cellStyle name="ハイパーリンク" xfId="43" builtinId="8" hidden="1"/>
    <cellStyle name="ハイパーリンク" xfId="45" builtinId="8" hidden="1"/>
    <cellStyle name="ハイパーリンク" xfId="47" builtinId="8" hidden="1"/>
    <cellStyle name="ハイパーリンク" xfId="49" builtinId="8" hidden="1"/>
    <cellStyle name="ハイパーリンク" xfId="51" builtinId="8" hidden="1"/>
    <cellStyle name="ハイパーリンク" xfId="53" builtinId="8" hidden="1"/>
    <cellStyle name="ハイパーリンク" xfId="55" builtinId="8" hidden="1"/>
    <cellStyle name="ハイパーリンク" xfId="57" builtinId="8" hidden="1"/>
    <cellStyle name="ハイパーリンク" xfId="59" builtinId="8" hidden="1"/>
    <cellStyle name="ハイパーリンク" xfId="61" builtinId="8" hidden="1"/>
    <cellStyle name="ハイパーリンク" xfId="63" builtinId="8" hidden="1"/>
    <cellStyle name="ハイパーリンク" xfId="65" builtinId="8" hidden="1"/>
    <cellStyle name="ハイパーリンク" xfId="67" builtinId="8" hidden="1"/>
    <cellStyle name="ハイパーリンク" xfId="69" builtinId="8" hidden="1"/>
    <cellStyle name="ハイパーリンク" xfId="71" builtinId="8" hidden="1"/>
    <cellStyle name="ハイパーリンク" xfId="73" builtinId="8" hidden="1"/>
    <cellStyle name="ハイパーリンク" xfId="75" builtinId="8" hidden="1"/>
    <cellStyle name="ハイパーリンク" xfId="77" builtinId="8" hidden="1"/>
    <cellStyle name="ハイパーリンク" xfId="79" builtinId="8" hidden="1"/>
    <cellStyle name="ハイパーリンク" xfId="81" builtinId="8" hidden="1"/>
    <cellStyle name="ハイパーリンク" xfId="83" builtinId="8" hidden="1"/>
    <cellStyle name="ハイパーリンク" xfId="85" builtinId="8" hidden="1"/>
    <cellStyle name="ハイパーリンク" xfId="87" builtinId="8"/>
    <cellStyle name="ハイパーリンク 2" xfId="262"/>
    <cellStyle name="標準" xfId="0" builtinId="0"/>
    <cellStyle name="標準 2" xfId="194"/>
    <cellStyle name="標準 2 2" xfId="276"/>
    <cellStyle name="標準 3" xfId="277"/>
    <cellStyle name="標準 4" xfId="278"/>
    <cellStyle name="表示済みのハイパーリンク" xfId="2" builtinId="9" hidden="1"/>
    <cellStyle name="表示済みのハイパーリンク" xfId="4" builtinId="9" hidden="1"/>
    <cellStyle name="表示済みのハイパーリンク" xfId="6" builtinId="9" hidden="1"/>
    <cellStyle name="表示済みのハイパーリンク" xfId="8" builtinId="9" hidden="1"/>
    <cellStyle name="表示済みのハイパーリンク" xfId="10" builtinId="9" hidden="1"/>
    <cellStyle name="表示済みのハイパーリンク" xfId="12"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20" builtinId="9" hidden="1"/>
    <cellStyle name="表示済みのハイパーリンク" xfId="22" builtinId="9" hidden="1"/>
    <cellStyle name="表示済みのハイパーリンク" xfId="24" builtinId="9" hidden="1"/>
    <cellStyle name="表示済みのハイパーリンク" xfId="26" builtinId="9" hidden="1"/>
    <cellStyle name="表示済みのハイパーリンク" xfId="28" builtinId="9" hidden="1"/>
    <cellStyle name="表示済みのハイパーリンク" xfId="30" builtinId="9" hidden="1"/>
    <cellStyle name="表示済みのハイパーリンク" xfId="32" builtinId="9" hidden="1"/>
    <cellStyle name="表示済みのハイパーリンク" xfId="34" builtinId="9" hidden="1"/>
    <cellStyle name="表示済みのハイパーリンク" xfId="36" builtinId="9" hidden="1"/>
    <cellStyle name="表示済みのハイパーリンク" xfId="38"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46" builtinId="9" hidden="1"/>
    <cellStyle name="表示済みのハイパーリンク" xfId="48" builtinId="9" hidden="1"/>
    <cellStyle name="表示済みのハイパーリンク" xfId="50" builtinId="9" hidden="1"/>
    <cellStyle name="表示済みのハイパーリンク" xfId="52" builtinId="9" hidden="1"/>
    <cellStyle name="表示済みのハイパーリンク" xfId="54" builtinId="9" hidden="1"/>
    <cellStyle name="表示済みのハイパーリンク" xfId="56" builtinId="9" hidden="1"/>
    <cellStyle name="表示済みのハイパーリンク" xfId="58" builtinId="9" hidden="1"/>
    <cellStyle name="表示済みのハイパーリンク" xfId="60" builtinId="9" hidden="1"/>
    <cellStyle name="表示済みのハイパーリンク" xfId="62" builtinId="9" hidden="1"/>
    <cellStyle name="表示済みのハイパーリンク" xfId="64" builtinId="9" hidden="1"/>
    <cellStyle name="表示済みのハイパーリンク" xfId="66" builtinId="9" hidden="1"/>
    <cellStyle name="表示済みのハイパーリンク" xfId="68" builtinId="9" hidden="1"/>
    <cellStyle name="表示済みのハイパーリンク" xfId="70" builtinId="9" hidden="1"/>
    <cellStyle name="表示済みのハイパーリンク" xfId="72" builtinId="9" hidden="1"/>
    <cellStyle name="表示済みのハイパーリンク" xfId="74" builtinId="9" hidden="1"/>
    <cellStyle name="表示済みのハイパーリンク" xfId="76" builtinId="9" hidden="1"/>
    <cellStyle name="表示済みのハイパーリンク" xfId="78" builtinId="9" hidden="1"/>
    <cellStyle name="表示済みのハイパーリンク" xfId="80" builtinId="9" hidden="1"/>
    <cellStyle name="表示済みのハイパーリンク" xfId="82" builtinId="9" hidden="1"/>
    <cellStyle name="表示済みのハイパーリンク" xfId="84" builtinId="9" hidden="1"/>
    <cellStyle name="表示済みのハイパーリンク" xfId="86" builtinId="9" hidden="1"/>
    <cellStyle name="表示済みのハイパーリンク" xfId="88" builtinId="9" hidden="1"/>
    <cellStyle name="表示済みのハイパーリンク" xfId="89" builtinId="9" hidden="1"/>
    <cellStyle name="表示済みのハイパーリンク" xfId="90" builtinId="9" hidden="1"/>
    <cellStyle name="表示済みのハイパーリンク" xfId="91" builtinId="9" hidden="1"/>
    <cellStyle name="表示済みのハイパーリンク" xfId="92" builtinId="9" hidden="1"/>
    <cellStyle name="表示済みのハイパーリンク" xfId="93" builtinId="9" hidden="1"/>
    <cellStyle name="表示済みのハイパーリンク" xfId="94" builtinId="9" hidden="1"/>
    <cellStyle name="表示済みのハイパーリンク" xfId="95" builtinId="9" hidden="1"/>
    <cellStyle name="表示済みのハイパーリンク" xfId="96" builtinId="9" hidden="1"/>
    <cellStyle name="表示済みのハイパーリンク" xfId="97" builtinId="9" hidden="1"/>
    <cellStyle name="表示済みのハイパーリンク" xfId="98" builtinId="9" hidden="1"/>
    <cellStyle name="表示済みのハイパーリンク" xfId="99" builtinId="9" hidden="1"/>
    <cellStyle name="表示済みのハイパーリンク" xfId="100" builtinId="9" hidden="1"/>
    <cellStyle name="表示済みのハイパーリンク" xfId="101" builtinId="9" hidden="1"/>
    <cellStyle name="表示済みのハイパーリンク" xfId="102" builtinId="9" hidden="1"/>
    <cellStyle name="表示済みのハイパーリンク" xfId="103" builtinId="9" hidden="1"/>
    <cellStyle name="表示済みのハイパーリンク" xfId="104" builtinId="9" hidden="1"/>
    <cellStyle name="表示済みのハイパーリンク" xfId="105" builtinId="9" hidden="1"/>
    <cellStyle name="表示済みのハイパーリンク" xfId="106" builtinId="9" hidden="1"/>
    <cellStyle name="表示済みのハイパーリンク" xfId="107" builtinId="9" hidden="1"/>
    <cellStyle name="表示済みのハイパーリンク" xfId="108" builtinId="9" hidden="1"/>
    <cellStyle name="表示済みのハイパーリンク" xfId="109" builtinId="9" hidden="1"/>
    <cellStyle name="表示済みのハイパーリンク" xfId="110" builtinId="9" hidden="1"/>
    <cellStyle name="表示済みのハイパーリンク" xfId="111" builtinId="9" hidden="1"/>
    <cellStyle name="表示済みのハイパーリンク" xfId="112" builtinId="9" hidden="1"/>
    <cellStyle name="表示済みのハイパーリンク" xfId="113" builtinId="9" hidden="1"/>
    <cellStyle name="表示済みのハイパーリンク" xfId="114" builtinId="9" hidden="1"/>
    <cellStyle name="表示済みのハイパーリンク" xfId="115" builtinId="9" hidden="1"/>
    <cellStyle name="表示済みのハイパーリンク" xfId="116" builtinId="9" hidden="1"/>
    <cellStyle name="表示済みのハイパーリンク" xfId="117" builtinId="9" hidden="1"/>
    <cellStyle name="表示済みのハイパーリンク" xfId="118" builtinId="9" hidden="1"/>
    <cellStyle name="表示済みのハイパーリンク" xfId="119" builtinId="9" hidden="1"/>
    <cellStyle name="表示済みのハイパーリンク" xfId="120" builtinId="9" hidden="1"/>
    <cellStyle name="表示済みのハイパーリンク" xfId="121" builtinId="9" hidden="1"/>
    <cellStyle name="表示済みのハイパーリンク" xfId="122" builtinId="9" hidden="1"/>
    <cellStyle name="表示済みのハイパーリンク" xfId="123" builtinId="9" hidden="1"/>
    <cellStyle name="表示済みのハイパーリンク" xfId="124" builtinId="9" hidden="1"/>
    <cellStyle name="表示済みのハイパーリンク" xfId="125" builtinId="9" hidden="1"/>
    <cellStyle name="表示済みのハイパーリンク" xfId="126" builtinId="9" hidden="1"/>
    <cellStyle name="表示済みのハイパーリンク" xfId="127" builtinId="9" hidden="1"/>
    <cellStyle name="表示済みのハイパーリンク" xfId="128" builtinId="9" hidden="1"/>
    <cellStyle name="表示済みのハイパーリンク" xfId="129" builtinId="9" hidden="1"/>
    <cellStyle name="表示済みのハイパーリンク" xfId="130" builtinId="9" hidden="1"/>
    <cellStyle name="表示済みのハイパーリンク" xfId="131" builtinId="9" hidden="1"/>
    <cellStyle name="表示済みのハイパーリンク" xfId="132" builtinId="9" hidden="1"/>
    <cellStyle name="表示済みのハイパーリンク" xfId="133" builtinId="9" hidden="1"/>
    <cellStyle name="表示済みのハイパーリンク" xfId="134" builtinId="9" hidden="1"/>
    <cellStyle name="表示済みのハイパーリンク" xfId="135" builtinId="9" hidden="1"/>
    <cellStyle name="表示済みのハイパーリンク" xfId="136" builtinId="9" hidden="1"/>
    <cellStyle name="表示済みのハイパーリンク" xfId="137" builtinId="9" hidden="1"/>
    <cellStyle name="表示済みのハイパーリンク" xfId="138" builtinId="9" hidden="1"/>
    <cellStyle name="表示済みのハイパーリンク" xfId="139" builtinId="9" hidden="1"/>
    <cellStyle name="表示済みのハイパーリンク" xfId="140" builtinId="9" hidden="1"/>
    <cellStyle name="表示済みのハイパーリンク" xfId="141" builtinId="9" hidden="1"/>
    <cellStyle name="表示済みのハイパーリンク" xfId="142" builtinId="9" hidden="1"/>
    <cellStyle name="表示済みのハイパーリンク" xfId="143" builtinId="9" hidden="1"/>
    <cellStyle name="表示済みのハイパーリンク" xfId="144" builtinId="9" hidden="1"/>
    <cellStyle name="表示済みのハイパーリンク" xfId="145" builtinId="9" hidden="1"/>
    <cellStyle name="表示済みのハイパーリンク" xfId="146" builtinId="9" hidden="1"/>
    <cellStyle name="表示済みのハイパーリンク" xfId="147" builtinId="9" hidden="1"/>
    <cellStyle name="表示済みのハイパーリンク" xfId="148" builtinId="9" hidden="1"/>
    <cellStyle name="表示済みのハイパーリンク" xfId="149" builtinId="9" hidden="1"/>
    <cellStyle name="表示済みのハイパーリンク" xfId="150" builtinId="9" hidden="1"/>
    <cellStyle name="表示済みのハイパーリンク" xfId="151" builtinId="9" hidden="1"/>
    <cellStyle name="表示済みのハイパーリンク" xfId="152" builtinId="9" hidden="1"/>
    <cellStyle name="表示済みのハイパーリンク" xfId="153" builtinId="9" hidden="1"/>
    <cellStyle name="表示済みのハイパーリンク" xfId="154" builtinId="9" hidden="1"/>
    <cellStyle name="表示済みのハイパーリンク" xfId="155" builtinId="9" hidden="1"/>
    <cellStyle name="表示済みのハイパーリンク" xfId="156" builtinId="9" hidden="1"/>
    <cellStyle name="表示済みのハイパーリンク" xfId="157" builtinId="9" hidden="1"/>
    <cellStyle name="表示済みのハイパーリンク" xfId="158" builtinId="9" hidden="1"/>
    <cellStyle name="表示済みのハイパーリンク" xfId="159" builtinId="9" hidden="1"/>
    <cellStyle name="表示済みのハイパーリンク" xfId="160" builtinId="9" hidden="1"/>
    <cellStyle name="表示済みのハイパーリンク" xfId="161" builtinId="9" hidden="1"/>
    <cellStyle name="表示済みのハイパーリンク" xfId="162" builtinId="9" hidden="1"/>
    <cellStyle name="表示済みのハイパーリンク" xfId="163" builtinId="9" hidden="1"/>
    <cellStyle name="表示済みのハイパーリンク" xfId="164" builtinId="9" hidden="1"/>
    <cellStyle name="表示済みのハイパーリンク" xfId="165" builtinId="9" hidden="1"/>
    <cellStyle name="表示済みのハイパーリンク" xfId="166" builtinId="9" hidden="1"/>
    <cellStyle name="表示済みのハイパーリンク" xfId="167" builtinId="9" hidden="1"/>
    <cellStyle name="表示済みのハイパーリンク" xfId="168" builtinId="9" hidden="1"/>
    <cellStyle name="表示済みのハイパーリンク" xfId="169" builtinId="9" hidden="1"/>
    <cellStyle name="表示済みのハイパーリンク" xfId="170" builtinId="9" hidden="1"/>
    <cellStyle name="表示済みのハイパーリンク" xfId="171" builtinId="9" hidden="1"/>
    <cellStyle name="表示済みのハイパーリンク" xfId="172" builtinId="9" hidden="1"/>
    <cellStyle name="表示済みのハイパーリンク" xfId="173" builtinId="9" hidden="1"/>
    <cellStyle name="表示済みのハイパーリンク" xfId="174" builtinId="9" hidden="1"/>
    <cellStyle name="表示済みのハイパーリンク" xfId="175" builtinId="9" hidden="1"/>
    <cellStyle name="表示済みのハイパーリンク" xfId="176" builtinId="9" hidden="1"/>
    <cellStyle name="表示済みのハイパーリンク" xfId="177" builtinId="9" hidden="1"/>
    <cellStyle name="表示済みのハイパーリンク" xfId="178" builtinId="9" hidden="1"/>
    <cellStyle name="表示済みのハイパーリンク" xfId="179" builtinId="9" hidden="1"/>
    <cellStyle name="表示済みのハイパーリンク" xfId="180" builtinId="9" hidden="1"/>
    <cellStyle name="表示済みのハイパーリンク" xfId="181" builtinId="9" hidden="1"/>
    <cellStyle name="表示済みのハイパーリンク" xfId="182" builtinId="9" hidden="1"/>
    <cellStyle name="表示済みのハイパーリンク" xfId="183" builtinId="9" hidden="1"/>
    <cellStyle name="表示済みのハイパーリンク" xfId="184" builtinId="9" hidden="1"/>
    <cellStyle name="表示済みのハイパーリンク" xfId="185" builtinId="9" hidden="1"/>
    <cellStyle name="表示済みのハイパーリンク" xfId="186" builtinId="9" hidden="1"/>
    <cellStyle name="表示済みのハイパーリンク" xfId="187" builtinId="9" hidden="1"/>
    <cellStyle name="表示済みのハイパーリンク" xfId="188" builtinId="9" hidden="1"/>
    <cellStyle name="表示済みのハイパーリンク" xfId="189" builtinId="9" hidden="1"/>
    <cellStyle name="表示済みのハイパーリンク" xfId="190" builtinId="9" hidden="1"/>
    <cellStyle name="表示済みのハイパーリンク" xfId="191" builtinId="9" hidden="1"/>
    <cellStyle name="表示済みのハイパーリンク" xfId="192" builtinId="9" hidden="1"/>
    <cellStyle name="表示済みのハイパーリンク" xfId="193" builtinId="9" hidden="1"/>
    <cellStyle name="表示済みのハイパーリンク" xfId="195" builtinId="9" hidden="1"/>
    <cellStyle name="表示済みのハイパーリンク" xfId="196" builtinId="9" hidden="1"/>
    <cellStyle name="表示済みのハイパーリンク" xfId="197" builtinId="9" hidden="1"/>
    <cellStyle name="表示済みのハイパーリンク" xfId="198" builtinId="9" hidden="1"/>
    <cellStyle name="表示済みのハイパーリンク" xfId="199" builtinId="9" hidden="1"/>
    <cellStyle name="表示済みのハイパーリンク" xfId="200" builtinId="9" hidden="1"/>
    <cellStyle name="表示済みのハイパーリンク" xfId="201" builtinId="9" hidden="1"/>
    <cellStyle name="表示済みのハイパーリンク" xfId="202" builtinId="9" hidden="1"/>
    <cellStyle name="表示済みのハイパーリンク" xfId="203" builtinId="9" hidden="1"/>
    <cellStyle name="表示済みのハイパーリンク" xfId="204" builtinId="9" hidden="1"/>
    <cellStyle name="表示済みのハイパーリンク" xfId="205" builtinId="9" hidden="1"/>
    <cellStyle name="表示済みのハイパーリンク" xfId="206" builtinId="9" hidden="1"/>
    <cellStyle name="表示済みのハイパーリンク" xfId="207" builtinId="9" hidden="1"/>
    <cellStyle name="表示済みのハイパーリンク" xfId="208" builtinId="9" hidden="1"/>
    <cellStyle name="表示済みのハイパーリンク" xfId="209" builtinId="9" hidden="1"/>
    <cellStyle name="表示済みのハイパーリンク" xfId="210" builtinId="9" hidden="1"/>
    <cellStyle name="表示済みのハイパーリンク" xfId="211" builtinId="9" hidden="1"/>
    <cellStyle name="表示済みのハイパーリンク" xfId="212" builtinId="9" hidden="1"/>
    <cellStyle name="表示済みのハイパーリンク" xfId="213" builtinId="9" hidden="1"/>
    <cellStyle name="表示済みのハイパーリンク" xfId="214" builtinId="9" hidden="1"/>
    <cellStyle name="表示済みのハイパーリンク" xfId="215" builtinId="9" hidden="1"/>
    <cellStyle name="表示済みのハイパーリンク" xfId="216" builtinId="9" hidden="1"/>
    <cellStyle name="表示済みのハイパーリンク" xfId="217" builtinId="9" hidden="1"/>
    <cellStyle name="表示済みのハイパーリンク" xfId="218" builtinId="9" hidden="1"/>
    <cellStyle name="表示済みのハイパーリンク" xfId="219" builtinId="9" hidden="1"/>
    <cellStyle name="表示済みのハイパーリンク" xfId="220" builtinId="9" hidden="1"/>
    <cellStyle name="表示済みのハイパーリンク" xfId="221" builtinId="9" hidden="1"/>
    <cellStyle name="表示済みのハイパーリンク" xfId="222" builtinId="9" hidden="1"/>
    <cellStyle name="表示済みのハイパーリンク" xfId="223" builtinId="9" hidden="1"/>
    <cellStyle name="表示済みのハイパーリンク" xfId="224" builtinId="9" hidden="1"/>
    <cellStyle name="表示済みのハイパーリンク" xfId="225" builtinId="9" hidden="1"/>
    <cellStyle name="表示済みのハイパーリンク" xfId="226" builtinId="9" hidden="1"/>
    <cellStyle name="表示済みのハイパーリンク" xfId="227" builtinId="9" hidden="1"/>
    <cellStyle name="表示済みのハイパーリンク" xfId="228" builtinId="9" hidden="1"/>
    <cellStyle name="表示済みのハイパーリンク" xfId="229" builtinId="9" hidden="1"/>
    <cellStyle name="表示済みのハイパーリンク" xfId="230" builtinId="9" hidden="1"/>
    <cellStyle name="表示済みのハイパーリンク" xfId="231" builtinId="9" hidden="1"/>
    <cellStyle name="表示済みのハイパーリンク" xfId="232" builtinId="9" hidden="1"/>
    <cellStyle name="表示済みのハイパーリンク" xfId="233" builtinId="9" hidden="1"/>
    <cellStyle name="表示済みのハイパーリンク" xfId="234" builtinId="9" hidden="1"/>
    <cellStyle name="表示済みのハイパーリンク" xfId="235" builtinId="9" hidden="1"/>
    <cellStyle name="表示済みのハイパーリンク" xfId="236" builtinId="9" hidden="1"/>
    <cellStyle name="表示済みのハイパーリンク" xfId="237" builtinId="9" hidden="1"/>
    <cellStyle name="表示済みのハイパーリンク" xfId="238" builtinId="9" hidden="1"/>
    <cellStyle name="表示済みのハイパーリンク" xfId="239" builtinId="9" hidden="1"/>
    <cellStyle name="表示済みのハイパーリンク" xfId="240" builtinId="9" hidden="1"/>
    <cellStyle name="表示済みのハイパーリンク" xfId="241" builtinId="9" hidden="1"/>
    <cellStyle name="表示済みのハイパーリンク" xfId="242" builtinId="9" hidden="1"/>
    <cellStyle name="表示済みのハイパーリンク" xfId="243" builtinId="9" hidden="1"/>
    <cellStyle name="表示済みのハイパーリンク" xfId="244" builtinId="9" hidden="1"/>
    <cellStyle name="表示済みのハイパーリンク" xfId="245" builtinId="9" hidden="1"/>
    <cellStyle name="表示済みのハイパーリンク" xfId="246" builtinId="9" hidden="1"/>
    <cellStyle name="表示済みのハイパーリンク" xfId="247" builtinId="9" hidden="1"/>
    <cellStyle name="表示済みのハイパーリンク" xfId="248" builtinId="9" hidden="1"/>
    <cellStyle name="表示済みのハイパーリンク" xfId="249" builtinId="9" hidden="1"/>
    <cellStyle name="表示済みのハイパーリンク" xfId="250" builtinId="9" hidden="1"/>
    <cellStyle name="表示済みのハイパーリンク" xfId="251" builtinId="9" hidden="1"/>
    <cellStyle name="表示済みのハイパーリンク" xfId="252" builtinId="9" hidden="1"/>
    <cellStyle name="表示済みのハイパーリンク" xfId="253" builtinId="9" hidden="1"/>
    <cellStyle name="表示済みのハイパーリンク" xfId="254" builtinId="9" hidden="1"/>
    <cellStyle name="表示済みのハイパーリンク" xfId="255" builtinId="9" hidden="1"/>
    <cellStyle name="表示済みのハイパーリンク" xfId="256" builtinId="9" hidden="1"/>
    <cellStyle name="表示済みのハイパーリンク" xfId="257" builtinId="9" hidden="1"/>
    <cellStyle name="表示済みのハイパーリンク" xfId="258" builtinId="9" hidden="1"/>
    <cellStyle name="表示済みのハイパーリンク" xfId="259" builtinId="9" hidden="1"/>
    <cellStyle name="表示済みのハイパーリンク" xfId="260" builtinId="9" hidden="1"/>
    <cellStyle name="表示済みのハイパーリンク" xfId="261" builtinId="9" hidden="1"/>
    <cellStyle name="表示済みのハイパーリンク" xfId="263" builtinId="9" hidden="1"/>
    <cellStyle name="表示済みのハイパーリンク" xfId="264" builtinId="9" hidden="1"/>
    <cellStyle name="表示済みのハイパーリンク" xfId="265" builtinId="9" hidden="1"/>
    <cellStyle name="表示済みのハイパーリンク" xfId="266" builtinId="9" hidden="1"/>
    <cellStyle name="表示済みのハイパーリンク" xfId="267" builtinId="9" hidden="1"/>
    <cellStyle name="表示済みのハイパーリンク" xfId="268" builtinId="9" hidden="1"/>
    <cellStyle name="表示済みのハイパーリンク" xfId="269" builtinId="9" hidden="1"/>
    <cellStyle name="表示済みのハイパーリンク" xfId="270" builtinId="9" hidden="1"/>
    <cellStyle name="表示済みのハイパーリンク" xfId="271" builtinId="9" hidden="1"/>
    <cellStyle name="表示済みのハイパーリンク" xfId="272" builtinId="9" hidden="1"/>
    <cellStyle name="表示済みのハイパーリンク" xfId="273" builtinId="9" hidden="1"/>
    <cellStyle name="表示済みのハイパーリンク" xfId="274" builtinId="9" hidden="1"/>
    <cellStyle name="表示済みのハイパーリンク" xfId="275" builtinId="9" hidden="1"/>
  </cellStyles>
  <dxfs count="0"/>
  <tableStyles count="0" defaultTableStyle="TableStyleMedium9" defaultPivotStyle="PivotStyleMedium4"/>
  <colors>
    <mruColors>
      <color rgb="FFFFFF00"/>
      <color rgb="FFFFE7FF"/>
      <color rgb="FFFFCCFF"/>
      <color rgb="FF0000FF"/>
      <color rgb="FF3333FF"/>
      <color rgb="FFFFFFE5"/>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3.79217798780178E-2"/>
          <c:y val="2.7956989247311801E-2"/>
          <c:w val="0.93531301049680304"/>
          <c:h val="0.94408602150537602"/>
        </c:manualLayout>
      </c:layout>
      <c:scatterChart>
        <c:scatterStyle val="smoothMarker"/>
        <c:varyColors val="0"/>
        <c:ser>
          <c:idx val="0"/>
          <c:order val="0"/>
          <c:tx>
            <c:strRef>
              <c:f>'生育指数(広葉樹)'!$X$2:$X$3</c:f>
              <c:strCache>
                <c:ptCount val="2"/>
                <c:pt idx="0">
                  <c:v>Ht</c:v>
                </c:pt>
              </c:strCache>
            </c:strRef>
          </c:tx>
          <c:spPr>
            <a:ln w="47625">
              <a:solidFill>
                <a:schemeClr val="tx2"/>
              </a:solidFill>
            </a:ln>
          </c:spPr>
          <c:marker>
            <c:symbol val="none"/>
          </c:marker>
          <c:xVal>
            <c:numRef>
              <c:f>'生育指数(広葉樹)'!$W$4:$W$43</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'生育指数(広葉樹)'!$X$4:$X$43</c:f>
              <c:numCache>
                <c:formatCode>General</c:formatCode>
                <c:ptCount val="40"/>
                <c:pt idx="0">
                  <c:v>-0.20316592179151272</c:v>
                </c:pt>
                <c:pt idx="1">
                  <c:v>0.6947449864696793</c:v>
                </c:pt>
                <c:pt idx="2">
                  <c:v>1.5566394900694114</c:v>
                </c:pt>
                <c:pt idx="3">
                  <c:v>2.3839622550572983</c:v>
                </c:pt>
                <c:pt idx="4">
                  <c:v>3.1781000000000006</c:v>
                </c:pt>
                <c:pt idx="5">
                  <c:v>3.940383820332098</c:v>
                </c:pt>
                <c:pt idx="6">
                  <c:v>4.6720914194741425</c:v>
                </c:pt>
                <c:pt idx="7">
                  <c:v>5.3744492504575661</c:v>
                </c:pt>
                <c:pt idx="8">
                  <c:v>6.0486345716461933</c:v>
                </c:pt>
                <c:pt idx="9">
                  <c:v>6.6957774200000024</c:v>
                </c:pt>
                <c:pt idx="10">
                  <c:v>7.3169625051886307</c:v>
                </c:pt>
                <c:pt idx="11">
                  <c:v>7.9132310277294788</c:v>
                </c:pt>
                <c:pt idx="12">
                  <c:v>8.4855824241978706</c:v>
                </c:pt>
                <c:pt idx="13">
                  <c:v>9.0349760424344847</c:v>
                </c:pt>
                <c:pt idx="14">
                  <c:v>9.5623327495580011</c:v>
                </c:pt>
                <c:pt idx="15">
                  <c:v>10.068536475478215</c:v>
                </c:pt>
                <c:pt idx="16">
                  <c:v>10.554435694496753</c:v>
                </c:pt>
                <c:pt idx="17">
                  <c:v>11.020844847478843</c:v>
                </c:pt>
                <c:pt idx="18">
                  <c:v>11.46854570697986</c:v>
                </c:pt>
                <c:pt idx="19">
                  <c:v>11.898288687614818</c:v>
                </c:pt>
                <c:pt idx="20">
                  <c:v>12.310794103867199</c:v>
                </c:pt>
                <c:pt idx="21">
                  <c:v>12.706753377445406</c:v>
                </c:pt>
                <c:pt idx="22">
                  <c:v>13.08683019621051</c:v>
                </c:pt>
                <c:pt idx="23">
                  <c:v>13.45166162661789</c:v>
                </c:pt>
                <c:pt idx="24">
                  <c:v>13.801859181537314</c:v>
                </c:pt>
                <c:pt idx="25">
                  <c:v>14.138009845241381</c:v>
                </c:pt>
                <c:pt idx="26">
                  <c:v>14.460677057280261</c:v>
                </c:pt>
                <c:pt idx="27">
                  <c:v>14.770401656891945</c:v>
                </c:pt>
                <c:pt idx="28">
                  <c:v>15.067702789530919</c:v>
                </c:pt>
                <c:pt idx="29">
                  <c:v>15.353078777034757</c:v>
                </c:pt>
                <c:pt idx="30">
                  <c:v>15.627007952887201</c:v>
                </c:pt>
                <c:pt idx="31">
                  <c:v>15.889949463977686</c:v>
                </c:pt>
                <c:pt idx="32">
                  <c:v>16.142344040201248</c:v>
                </c:pt>
                <c:pt idx="33">
                  <c:v>16.384614733188744</c:v>
                </c:pt>
                <c:pt idx="34">
                  <c:v>16.617167625405624</c:v>
                </c:pt>
                <c:pt idx="35">
                  <c:v>16.840392510807781</c:v>
                </c:pt>
                <c:pt idx="36">
                  <c:v>17.054663548195418</c:v>
                </c:pt>
                <c:pt idx="37">
                  <c:v>17.260339888359997</c:v>
                </c:pt>
                <c:pt idx="38">
                  <c:v>17.45776627607551</c:v>
                </c:pt>
                <c:pt idx="39">
                  <c:v>17.647273627943044</c:v>
                </c:pt>
              </c:numCache>
            </c:numRef>
          </c:yVal>
          <c:smooth val="1"/>
        </c:ser>
        <c:ser>
          <c:idx val="1"/>
          <c:order val="1"/>
          <c:tx>
            <c:strRef>
              <c:f>'生育指数(広葉樹)'!$AA$2:$AA$3</c:f>
              <c:strCache>
                <c:ptCount val="2"/>
                <c:pt idx="0">
                  <c:v>2σt*2を３等分した場合の２番目の</c:v>
                </c:pt>
                <c:pt idx="1">
                  <c:v>下限</c:v>
                </c:pt>
              </c:strCache>
            </c:strRef>
          </c:tx>
          <c:spPr>
            <a:ln w="19050" cmpd="sng">
              <a:solidFill>
                <a:schemeClr val="accent1"/>
              </a:solidFill>
            </a:ln>
          </c:spPr>
          <c:marker>
            <c:symbol val="none"/>
          </c:marker>
          <c:xVal>
            <c:numRef>
              <c:f>'生育指数(広葉樹)'!$W$4:$W$43</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'生育指数(広葉樹)'!$AA$4:$AA$43</c:f>
              <c:numCache>
                <c:formatCode>0.00_ </c:formatCode>
                <c:ptCount val="40"/>
                <c:pt idx="1">
                  <c:v>0.3973453230566098</c:v>
                </c:pt>
                <c:pt idx="2">
                  <c:v>1.1243518416437324</c:v>
                </c:pt>
                <c:pt idx="3">
                  <c:v>1.8284554175742866</c:v>
                </c:pt>
                <c:pt idx="4">
                  <c:v>2.5100333333333338</c:v>
                </c:pt>
                <c:pt idx="5">
                  <c:v>3.1694945718680581</c:v>
                </c:pt>
                <c:pt idx="6">
                  <c:v>3.807274493577089</c:v>
                </c:pt>
                <c:pt idx="7">
                  <c:v>4.4238300772939914</c:v>
                </c:pt>
                <c:pt idx="8">
                  <c:v>5.0196356723232496</c:v>
                </c:pt>
                <c:pt idx="9">
                  <c:v>5.5951792133333358</c:v>
                </c:pt>
                <c:pt idx="10">
                  <c:v>6.1509588542406544</c:v>
                </c:pt>
                <c:pt idx="11">
                  <c:v>6.687479981166363</c:v>
                </c:pt>
                <c:pt idx="12">
                  <c:v>7.2052525681485209</c:v>
                </c:pt>
                <c:pt idx="13">
                  <c:v>7.7047888425751605</c:v>
                </c:pt>
                <c:pt idx="14">
                  <c:v>8.1866012302973346</c:v>
                </c:pt>
                <c:pt idx="15">
                  <c:v>8.6512005531102076</c:v>
                </c:pt>
                <c:pt idx="16">
                  <c:v>9.0990944537779548</c:v>
                </c:pt>
                <c:pt idx="17">
                  <c:v>9.5307860260458508</c:v>
                </c:pt>
                <c:pt idx="18">
                  <c:v>9.9467726291493435</c:v>
                </c:pt>
                <c:pt idx="19">
                  <c:v>10.347544868213108</c:v>
                </c:pt>
                <c:pt idx="20">
                  <c:v>10.733585723648909</c:v>
                </c:pt>
                <c:pt idx="21">
                  <c:v>11.105369814224177</c:v>
                </c:pt>
                <c:pt idx="22">
                  <c:v>11.463362779896984</c:v>
                </c:pt>
                <c:pt idx="23">
                  <c:v>11.808020771809899</c:v>
                </c:pt>
                <c:pt idx="24">
                  <c:v>12.139790038015885</c:v>
                </c:pt>
                <c:pt idx="25">
                  <c:v>12.459106594584528</c:v>
                </c:pt>
                <c:pt idx="26">
                  <c:v>12.766395972715237</c:v>
                </c:pt>
                <c:pt idx="27">
                  <c:v>13.062073033374912</c:v>
                </c:pt>
                <c:pt idx="28">
                  <c:v>13.346541841787555</c:v>
                </c:pt>
                <c:pt idx="29">
                  <c:v>13.620195594840776</c:v>
                </c:pt>
                <c:pt idx="30">
                  <c:v>13.883416595144377</c:v>
                </c:pt>
                <c:pt idx="31">
                  <c:v>14.136576266085875</c:v>
                </c:pt>
                <c:pt idx="32">
                  <c:v>14.380035202782063</c:v>
                </c:pt>
                <c:pt idx="33">
                  <c:v>14.614143254329191</c:v>
                </c:pt>
                <c:pt idx="34">
                  <c:v>14.839239633212033</c:v>
                </c:pt>
                <c:pt idx="35">
                  <c:v>15.055653048147571</c:v>
                </c:pt>
                <c:pt idx="36">
                  <c:v>15.263701857016436</c:v>
                </c:pt>
                <c:pt idx="37">
                  <c:v>15.463694236877654</c:v>
                </c:pt>
                <c:pt idx="38">
                  <c:v>15.655928368372948</c:v>
                </c:pt>
                <c:pt idx="39">
                  <c:v>15.8406926321087</c:v>
                </c:pt>
              </c:numCache>
            </c:numRef>
          </c:yVal>
          <c:smooth val="1"/>
        </c:ser>
        <c:ser>
          <c:idx val="2"/>
          <c:order val="2"/>
          <c:tx>
            <c:strRef>
              <c:f>'生育指数(広葉樹)'!$AB$2:$AB$3</c:f>
              <c:strCache>
                <c:ptCount val="2"/>
                <c:pt idx="0">
                  <c:v>2σt*2を３等分した場合の２番目の</c:v>
                </c:pt>
                <c:pt idx="1">
                  <c:v>上限</c:v>
                </c:pt>
              </c:strCache>
            </c:strRef>
          </c:tx>
          <c:spPr>
            <a:ln w="19050" cmpd="sng">
              <a:solidFill>
                <a:srgbClr val="4F81BD"/>
              </a:solidFill>
            </a:ln>
          </c:spPr>
          <c:marker>
            <c:symbol val="none"/>
          </c:marker>
          <c:xVal>
            <c:numRef>
              <c:f>'生育指数(広葉樹)'!$W$4:$W$43</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'生育指数(広葉樹)'!$AB$4:$AB$43</c:f>
              <c:numCache>
                <c:formatCode>0.00_ </c:formatCode>
                <c:ptCount val="40"/>
                <c:pt idx="1">
                  <c:v>0.99214464988274886</c:v>
                </c:pt>
                <c:pt idx="2">
                  <c:v>1.9889271384950904</c:v>
                </c:pt>
                <c:pt idx="3">
                  <c:v>2.93946909254031</c:v>
                </c:pt>
                <c:pt idx="4">
                  <c:v>3.8461666666666674</c:v>
                </c:pt>
                <c:pt idx="5">
                  <c:v>4.7112730687961379</c:v>
                </c:pt>
                <c:pt idx="6">
                  <c:v>5.536908345371196</c:v>
                </c:pt>
                <c:pt idx="7">
                  <c:v>6.3250684236211407</c:v>
                </c:pt>
                <c:pt idx="8">
                  <c:v>7.0776334709691371</c:v>
                </c:pt>
                <c:pt idx="9">
                  <c:v>7.7963756266666691</c:v>
                </c:pt>
                <c:pt idx="10">
                  <c:v>8.482966156136607</c:v>
                </c:pt>
                <c:pt idx="11">
                  <c:v>9.1389820742925956</c:v>
                </c:pt>
                <c:pt idx="12">
                  <c:v>9.7659122802472211</c:v>
                </c:pt>
                <c:pt idx="13">
                  <c:v>10.365163242293809</c:v>
                </c:pt>
                <c:pt idx="14">
                  <c:v>10.938064268818668</c:v>
                </c:pt>
                <c:pt idx="15">
                  <c:v>11.485872397846222</c:v>
                </c:pt>
                <c:pt idx="16">
                  <c:v>12.009776935215552</c:v>
                </c:pt>
                <c:pt idx="17">
                  <c:v>12.510903668911835</c:v>
                </c:pt>
                <c:pt idx="18">
                  <c:v>12.990318784810377</c:v>
                </c:pt>
                <c:pt idx="19">
                  <c:v>13.449032507016527</c:v>
                </c:pt>
                <c:pt idx="20">
                  <c:v>13.888002484085488</c:v>
                </c:pt>
                <c:pt idx="21">
                  <c:v>14.308136940666634</c:v>
                </c:pt>
                <c:pt idx="22">
                  <c:v>14.710297612524036</c:v>
                </c:pt>
                <c:pt idx="23">
                  <c:v>15.095302481425881</c:v>
                </c:pt>
                <c:pt idx="24">
                  <c:v>15.463928325058742</c:v>
                </c:pt>
                <c:pt idx="25">
                  <c:v>15.816913095898235</c:v>
                </c:pt>
                <c:pt idx="26">
                  <c:v>16.154958141845285</c:v>
                </c:pt>
                <c:pt idx="27">
                  <c:v>16.478730280408978</c:v>
                </c:pt>
                <c:pt idx="28">
                  <c:v>16.788863737274283</c:v>
                </c:pt>
                <c:pt idx="29">
                  <c:v>17.085961959228737</c:v>
                </c:pt>
                <c:pt idx="30">
                  <c:v>17.370599310630027</c:v>
                </c:pt>
                <c:pt idx="31">
                  <c:v>17.643322661869497</c:v>
                </c:pt>
                <c:pt idx="32">
                  <c:v>17.904652877620432</c:v>
                </c:pt>
                <c:pt idx="33">
                  <c:v>18.155086212048296</c:v>
                </c:pt>
                <c:pt idx="34">
                  <c:v>18.395095617599214</c:v>
                </c:pt>
                <c:pt idx="35">
                  <c:v>18.625131973467994</c:v>
                </c:pt>
                <c:pt idx="36">
                  <c:v>18.845625239374399</c:v>
                </c:pt>
                <c:pt idx="37">
                  <c:v>19.056985539842341</c:v>
                </c:pt>
                <c:pt idx="38">
                  <c:v>19.259604183778073</c:v>
                </c:pt>
                <c:pt idx="39">
                  <c:v>19.453854623777389</c:v>
                </c:pt>
              </c:numCache>
            </c:numRef>
          </c:yVal>
          <c:smooth val="1"/>
        </c:ser>
        <c:dLbls>
          <c:showLegendKey val="0"/>
          <c:showVal val="0"/>
          <c:showCatName val="0"/>
          <c:showSerName val="0"/>
          <c:showPercent val="0"/>
          <c:showBubbleSize val="0"/>
        </c:dLbls>
        <c:axId val="315465832"/>
        <c:axId val="315465440"/>
      </c:scatterChart>
      <c:valAx>
        <c:axId val="315465832"/>
        <c:scaling>
          <c:orientation val="minMax"/>
          <c:max val="41"/>
          <c:min val="0"/>
        </c:scaling>
        <c:delete val="0"/>
        <c:axPos val="b"/>
        <c:numFmt formatCode="General" sourceLinked="1"/>
        <c:majorTickMark val="out"/>
        <c:minorTickMark val="none"/>
        <c:tickLblPos val="nextTo"/>
        <c:crossAx val="315465440"/>
        <c:crosses val="autoZero"/>
        <c:crossBetween val="midCat"/>
      </c:valAx>
      <c:valAx>
        <c:axId val="315465440"/>
        <c:scaling>
          <c:orientation val="minMax"/>
          <c:max val="20"/>
          <c:min val="0"/>
        </c:scaling>
        <c:delete val="0"/>
        <c:axPos val="l"/>
        <c:majorGridlines/>
        <c:numFmt formatCode="General" sourceLinked="1"/>
        <c:majorTickMark val="out"/>
        <c:minorTickMark val="none"/>
        <c:tickLblPos val="nextTo"/>
        <c:crossAx val="315465832"/>
        <c:crosses val="autoZero"/>
        <c:crossBetween val="midCat"/>
        <c:majorUnit val="5"/>
      </c:valAx>
    </c:plotArea>
    <c:legend>
      <c:legendPos val="r"/>
      <c:layout>
        <c:manualLayout>
          <c:xMode val="edge"/>
          <c:yMode val="edge"/>
          <c:x val="0.452318745289222"/>
          <c:y val="0.76731461299771198"/>
          <c:w val="0.54497105377102795"/>
          <c:h val="0.16784671622266301"/>
        </c:manualLayout>
      </c:layout>
      <c:overlay val="0"/>
    </c:legend>
    <c:plotVisOnly val="1"/>
    <c:dispBlanksAs val="gap"/>
    <c:showDLblsOverMax val="0"/>
  </c:chart>
  <c:txPr>
    <a:bodyPr/>
    <a:lstStyle/>
    <a:p>
      <a:pPr>
        <a:defRPr sz="1100"/>
      </a:pPr>
      <a:endParaRPr lang="ja-JP"/>
    </a:p>
  </c:txPr>
  <c:printSettings>
    <c:headerFooter/>
    <c:pageMargins b="0.75" l="0.7" r="0.7" t="0.75" header="0.3" footer="0.3"/>
    <c:pageSetup paperSize="9"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ltLang="ja-JP"/>
              <a:t>Ht</a:t>
            </a:r>
            <a:r>
              <a:rPr lang="ja-JP" altLang="en-US"/>
              <a:t>に対するバイオマス比</a:t>
            </a:r>
          </a:p>
        </c:rich>
      </c:tx>
      <c:overlay val="0"/>
    </c:title>
    <c:autoTitleDeleted val="0"/>
    <c:plotArea>
      <c:layout>
        <c:manualLayout>
          <c:layoutTarget val="inner"/>
          <c:xMode val="edge"/>
          <c:yMode val="edge"/>
          <c:x val="0.10073884514435701"/>
          <c:y val="6.0185185185185203E-2"/>
          <c:w val="0.86412226596675401"/>
          <c:h val="0.82246937882764704"/>
        </c:manualLayout>
      </c:layout>
      <c:scatterChart>
        <c:scatterStyle val="lineMarker"/>
        <c:varyColors val="0"/>
        <c:ser>
          <c:idx val="0"/>
          <c:order val="0"/>
          <c:tx>
            <c:v>生育良好</c:v>
          </c:tx>
          <c:spPr>
            <a:ln w="47625">
              <a:noFill/>
            </a:ln>
          </c:spPr>
          <c:trendline>
            <c:trendlineType val="log"/>
            <c:dispRSqr val="1"/>
            <c:dispEq val="1"/>
            <c:trendlineLbl>
              <c:layout>
                <c:manualLayout>
                  <c:x val="-0.23660797394450253"/>
                  <c:y val="-7.7165649237665515E-2"/>
                </c:manualLayout>
              </c:layout>
              <c:numFmt formatCode="General" sourceLinked="0"/>
            </c:trendlineLbl>
          </c:trendline>
          <c:xVal>
            <c:numRef>
              <c:f>'生育指数(広葉樹)'!$W$6:$W$43</c:f>
              <c:numCache>
                <c:formatCode>General</c:formatCode>
                <c:ptCount val="38"/>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pt idx="21">
                  <c:v>24</c:v>
                </c:pt>
                <c:pt idx="22">
                  <c:v>25</c:v>
                </c:pt>
                <c:pt idx="23">
                  <c:v>26</c:v>
                </c:pt>
                <c:pt idx="24">
                  <c:v>27</c:v>
                </c:pt>
                <c:pt idx="25">
                  <c:v>28</c:v>
                </c:pt>
                <c:pt idx="26">
                  <c:v>29</c:v>
                </c:pt>
                <c:pt idx="27">
                  <c:v>30</c:v>
                </c:pt>
                <c:pt idx="28">
                  <c:v>31</c:v>
                </c:pt>
                <c:pt idx="29">
                  <c:v>32</c:v>
                </c:pt>
                <c:pt idx="30">
                  <c:v>33</c:v>
                </c:pt>
                <c:pt idx="31">
                  <c:v>34</c:v>
                </c:pt>
                <c:pt idx="32">
                  <c:v>35</c:v>
                </c:pt>
                <c:pt idx="33">
                  <c:v>36</c:v>
                </c:pt>
                <c:pt idx="34">
                  <c:v>37</c:v>
                </c:pt>
                <c:pt idx="35">
                  <c:v>38</c:v>
                </c:pt>
                <c:pt idx="36">
                  <c:v>39</c:v>
                </c:pt>
                <c:pt idx="37">
                  <c:v>40</c:v>
                </c:pt>
              </c:numCache>
            </c:numRef>
          </c:xVal>
          <c:yVal>
            <c:numRef>
              <c:f>'生育指数(広葉樹)'!$AK$6:$AK$43</c:f>
              <c:numCache>
                <c:formatCode>0.00_ </c:formatCode>
                <c:ptCount val="38"/>
                <c:pt idx="0">
                  <c:v>8.7876956661150252E-2</c:v>
                </c:pt>
                <c:pt idx="1">
                  <c:v>0.15224199203782099</c:v>
                </c:pt>
                <c:pt idx="2">
                  <c:v>0.19468954273825786</c:v>
                </c:pt>
                <c:pt idx="3">
                  <c:v>0.22555933120246024</c:v>
                </c:pt>
                <c:pt idx="4">
                  <c:v>0.24980241341943107</c:v>
                </c:pt>
                <c:pt idx="5">
                  <c:v>0.26989296754344194</c:v>
                </c:pt>
                <c:pt idx="6">
                  <c:v>0.2871802428140513</c:v>
                </c:pt>
                <c:pt idx="7">
                  <c:v>0.30245767624353992</c:v>
                </c:pt>
                <c:pt idx="8">
                  <c:v>0.31622142478915516</c:v>
                </c:pt>
                <c:pt idx="9">
                  <c:v>0.32879779120957064</c:v>
                </c:pt>
                <c:pt idx="10">
                  <c:v>0.34041061932049482</c:v>
                </c:pt>
                <c:pt idx="11">
                  <c:v>0.35121910757099717</c:v>
                </c:pt>
                <c:pt idx="12">
                  <c:v>0.36134010045278003</c:v>
                </c:pt>
                <c:pt idx="13">
                  <c:v>0.37086178910861928</c:v>
                </c:pt>
                <c:pt idx="14">
                  <c:v>0.37985243630440624</c:v>
                </c:pt>
                <c:pt idx="15">
                  <c:v>0.3883661049320577</c:v>
                </c:pt>
                <c:pt idx="16">
                  <c:v>0.3964465199648024</c:v>
                </c:pt>
                <c:pt idx="17">
                  <c:v>0.4041297329555178</c:v>
                </c:pt>
                <c:pt idx="18">
                  <c:v>0.41144599819852873</c:v>
                </c:pt>
                <c:pt idx="19">
                  <c:v>0.41842111790456193</c:v>
                </c:pt>
                <c:pt idx="20">
                  <c:v>0.4250774223985132</c:v>
                </c:pt>
                <c:pt idx="21">
                  <c:v>0.43143449486544955</c:v>
                </c:pt>
                <c:pt idx="22">
                  <c:v>0.4375097143788011</c:v>
                </c:pt>
                <c:pt idx="23">
                  <c:v>0.44331866776119183</c:v>
                </c:pt>
                <c:pt idx="24">
                  <c:v>0.44887546550941781</c:v>
                </c:pt>
                <c:pt idx="25">
                  <c:v>0.45419298670783814</c:v>
                </c:pt>
                <c:pt idx="26">
                  <c:v>0.45928307080375708</c:v>
                </c:pt>
                <c:pt idx="27">
                  <c:v>0.46415666922187437</c:v>
                </c:pt>
                <c:pt idx="28">
                  <c:v>0.46882396634692008</c:v>
                </c:pt>
                <c:pt idx="29">
                  <c:v>0.47329447694451648</c:v>
                </c:pt>
                <c:pt idx="30">
                  <c:v>0.47757712531578295</c:v>
                </c:pt>
                <c:pt idx="31">
                  <c:v>0.48168031018675772</c:v>
                </c:pt>
                <c:pt idx="32">
                  <c:v>0.4856119583799472</c:v>
                </c:pt>
                <c:pt idx="33">
                  <c:v>0.48937956960609746</c:v>
                </c:pt>
                <c:pt idx="34">
                  <c:v>0.49299025418234954</c:v>
                </c:pt>
                <c:pt idx="35">
                  <c:v>0.49645076508083796</c:v>
                </c:pt>
                <c:pt idx="36">
                  <c:v>0.49976752540558589</c:v>
                </c:pt>
                <c:pt idx="37">
                  <c:v>0.5029466521608047</c:v>
                </c:pt>
              </c:numCache>
            </c:numRef>
          </c:yVal>
          <c:smooth val="0"/>
        </c:ser>
        <c:ser>
          <c:idx val="1"/>
          <c:order val="1"/>
          <c:tx>
            <c:v>生育不良</c:v>
          </c:tx>
          <c:spPr>
            <a:ln w="47625">
              <a:noFill/>
            </a:ln>
          </c:spPr>
          <c:trendline>
            <c:trendlineType val="log"/>
            <c:dispRSqr val="1"/>
            <c:dispEq val="1"/>
            <c:trendlineLbl>
              <c:layout>
                <c:manualLayout>
                  <c:x val="0.14857425724252155"/>
                  <c:y val="-0.1075684921407296"/>
                </c:manualLayout>
              </c:layout>
              <c:numFmt formatCode="General" sourceLinked="0"/>
            </c:trendlineLbl>
          </c:trendline>
          <c:xVal>
            <c:numRef>
              <c:f>'生育指数(広葉樹)'!$W$6:$W$43</c:f>
              <c:numCache>
                <c:formatCode>General</c:formatCode>
                <c:ptCount val="38"/>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pt idx="21">
                  <c:v>24</c:v>
                </c:pt>
                <c:pt idx="22">
                  <c:v>25</c:v>
                </c:pt>
                <c:pt idx="23">
                  <c:v>26</c:v>
                </c:pt>
                <c:pt idx="24">
                  <c:v>27</c:v>
                </c:pt>
                <c:pt idx="25">
                  <c:v>28</c:v>
                </c:pt>
                <c:pt idx="26">
                  <c:v>29</c:v>
                </c:pt>
                <c:pt idx="27">
                  <c:v>30</c:v>
                </c:pt>
                <c:pt idx="28">
                  <c:v>31</c:v>
                </c:pt>
                <c:pt idx="29">
                  <c:v>32</c:v>
                </c:pt>
                <c:pt idx="30">
                  <c:v>33</c:v>
                </c:pt>
                <c:pt idx="31">
                  <c:v>34</c:v>
                </c:pt>
                <c:pt idx="32">
                  <c:v>35</c:v>
                </c:pt>
                <c:pt idx="33">
                  <c:v>36</c:v>
                </c:pt>
                <c:pt idx="34">
                  <c:v>37</c:v>
                </c:pt>
                <c:pt idx="35">
                  <c:v>38</c:v>
                </c:pt>
                <c:pt idx="36">
                  <c:v>39</c:v>
                </c:pt>
                <c:pt idx="37">
                  <c:v>40</c:v>
                </c:pt>
              </c:numCache>
            </c:numRef>
          </c:xVal>
          <c:yVal>
            <c:numRef>
              <c:f>'生育指数(広葉樹)'!$AL$6:$AL$43</c:f>
              <c:numCache>
                <c:formatCode>0.00_ </c:formatCode>
                <c:ptCount val="38"/>
                <c:pt idx="0">
                  <c:v>3.7630138902555426</c:v>
                </c:pt>
                <c:pt idx="1">
                  <c:v>3.1508987092169614</c:v>
                </c:pt>
                <c:pt idx="2">
                  <c:v>2.8658228093720197</c:v>
                </c:pt>
                <c:pt idx="3">
                  <c:v>2.6930231631665822</c:v>
                </c:pt>
                <c:pt idx="4">
                  <c:v>2.5725101760988283</c:v>
                </c:pt>
                <c:pt idx="5">
                  <c:v>2.4809626734672023</c:v>
                </c:pt>
                <c:pt idx="6">
                  <c:v>2.4074063039847489</c:v>
                </c:pt>
                <c:pt idx="7">
                  <c:v>2.3459778882635041</c:v>
                </c:pt>
                <c:pt idx="8">
                  <c:v>2.2932444633700197</c:v>
                </c:pt>
                <c:pt idx="9">
                  <c:v>2.2470505190159868</c:v>
                </c:pt>
                <c:pt idx="10">
                  <c:v>2.2059654569167324</c:v>
                </c:pt>
                <c:pt idx="11">
                  <c:v>2.1689957598116645</c:v>
                </c:pt>
                <c:pt idx="12">
                  <c:v>2.1354248110622014</c:v>
                </c:pt>
                <c:pt idx="13">
                  <c:v>2.1047188160325874</c:v>
                </c:pt>
                <c:pt idx="14">
                  <c:v>2.0764690075541901</c:v>
                </c:pt>
                <c:pt idx="15">
                  <c:v>2.0503547614674238</c:v>
                </c:pt>
                <c:pt idx="16">
                  <c:v>2.026119270760955</c:v>
                </c:pt>
                <c:pt idx="17">
                  <c:v>2.0035530356000777</c:v>
                </c:pt>
                <c:pt idx="18">
                  <c:v>1.9824823707730455</c:v>
                </c:pt>
                <c:pt idx="19">
                  <c:v>1.9627612232164</c:v>
                </c:pt>
                <c:pt idx="20">
                  <c:v>1.9442652268854115</c:v>
                </c:pt>
                <c:pt idx="21">
                  <c:v>1.9268873031230993</c:v>
                </c:pt>
                <c:pt idx="22">
                  <c:v>1.910534349774528</c:v>
                </c:pt>
                <c:pt idx="23">
                  <c:v>1.8951247110794758</c:v>
                </c:pt>
                <c:pt idx="24">
                  <c:v>1.8805862166911025</c:v>
                </c:pt>
                <c:pt idx="25">
                  <c:v>1.8668546418047602</c:v>
                </c:pt>
                <c:pt idx="26">
                  <c:v>1.853872483218248</c:v>
                </c:pt>
                <c:pt idx="27">
                  <c:v>1.8415879754771383</c:v>
                </c:pt>
                <c:pt idx="28">
                  <c:v>1.8299542916617513</c:v>
                </c:pt>
                <c:pt idx="29">
                  <c:v>1.8189288877714178</c:v>
                </c:pt>
                <c:pt idx="30">
                  <c:v>1.808472959961102</c:v>
                </c:pt>
                <c:pt idx="31">
                  <c:v>1.7985509913451396</c:v>
                </c:pt>
                <c:pt idx="32">
                  <c:v>1.789130370549185</c:v>
                </c:pt>
                <c:pt idx="33">
                  <c:v>1.7801810682411425</c:v>
                </c:pt>
                <c:pt idx="34">
                  <c:v>1.7716753609029272</c:v>
                </c:pt>
                <c:pt idx="35">
                  <c:v>1.7635875933956247</c:v>
                </c:pt>
                <c:pt idx="36">
                  <c:v>1.7558939736177173</c:v>
                </c:pt>
                <c:pt idx="37">
                  <c:v>1.7485723939000155</c:v>
                </c:pt>
              </c:numCache>
            </c:numRef>
          </c:yVal>
          <c:smooth val="0"/>
        </c:ser>
        <c:dLbls>
          <c:showLegendKey val="0"/>
          <c:showVal val="0"/>
          <c:showCatName val="0"/>
          <c:showSerName val="0"/>
          <c:showPercent val="0"/>
          <c:showBubbleSize val="0"/>
        </c:dLbls>
        <c:axId val="231567088"/>
        <c:axId val="231565128"/>
      </c:scatterChart>
      <c:valAx>
        <c:axId val="231567088"/>
        <c:scaling>
          <c:orientation val="minMax"/>
        </c:scaling>
        <c:delete val="0"/>
        <c:axPos val="b"/>
        <c:numFmt formatCode="General" sourceLinked="1"/>
        <c:majorTickMark val="out"/>
        <c:minorTickMark val="none"/>
        <c:tickLblPos val="nextTo"/>
        <c:crossAx val="231565128"/>
        <c:crosses val="autoZero"/>
        <c:crossBetween val="midCat"/>
      </c:valAx>
      <c:valAx>
        <c:axId val="231565128"/>
        <c:scaling>
          <c:orientation val="minMax"/>
        </c:scaling>
        <c:delete val="0"/>
        <c:axPos val="l"/>
        <c:majorGridlines/>
        <c:numFmt formatCode="0.00_ " sourceLinked="1"/>
        <c:majorTickMark val="out"/>
        <c:minorTickMark val="none"/>
        <c:tickLblPos val="nextTo"/>
        <c:crossAx val="231567088"/>
        <c:crosses val="autoZero"/>
        <c:crossBetween val="midCat"/>
      </c:valAx>
    </c:plotArea>
    <c:legend>
      <c:legendPos val="r"/>
      <c:layout>
        <c:manualLayout>
          <c:xMode val="edge"/>
          <c:yMode val="edge"/>
          <c:x val="0.6997120571444434"/>
          <c:y val="5.9281016839187288E-2"/>
          <c:w val="0.27443598920764301"/>
          <c:h val="0.27521105733342999"/>
        </c:manualLayout>
      </c:layout>
      <c:overlay val="0"/>
    </c:legend>
    <c:plotVisOnly val="1"/>
    <c:dispBlanksAs val="gap"/>
    <c:showDLblsOverMax val="0"/>
  </c:chart>
  <c:txPr>
    <a:bodyPr/>
    <a:lstStyle/>
    <a:p>
      <a:pPr>
        <a:defRPr sz="1200"/>
      </a:pPr>
      <a:endParaRPr lang="ja-JP"/>
    </a:p>
  </c:tx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0</xdr:colOff>
      <xdr:row>19</xdr:row>
      <xdr:rowOff>0</xdr:rowOff>
    </xdr:from>
    <xdr:to>
      <xdr:col>5</xdr:col>
      <xdr:colOff>520700</xdr:colOff>
      <xdr:row>21</xdr:row>
      <xdr:rowOff>25400</xdr:rowOff>
    </xdr:to>
    <xdr:grpSp>
      <xdr:nvGrpSpPr>
        <xdr:cNvPr id="15" name="図形グループ 14"/>
        <xdr:cNvGrpSpPr/>
      </xdr:nvGrpSpPr>
      <xdr:grpSpPr>
        <a:xfrm>
          <a:off x="1147482" y="4616824"/>
          <a:ext cx="1596465" cy="491564"/>
          <a:chOff x="1308100" y="4318000"/>
          <a:chExt cx="2679700" cy="508000"/>
        </a:xfrm>
        <a:effectLst/>
      </xdr:grpSpPr>
      <xdr:cxnSp macro="">
        <xdr:nvCxnSpPr>
          <xdr:cNvPr id="8" name="直線コネクタ 7"/>
          <xdr:cNvCxnSpPr/>
        </xdr:nvCxnSpPr>
        <xdr:spPr>
          <a:xfrm flipV="1">
            <a:off x="1320800" y="4572000"/>
            <a:ext cx="0" cy="254000"/>
          </a:xfrm>
          <a:prstGeom prst="line">
            <a:avLst/>
          </a:prstGeom>
          <a:ln>
            <a:solidFill>
              <a:srgbClr val="FF0000"/>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9" name="直線コネクタ 8"/>
          <xdr:cNvCxnSpPr/>
        </xdr:nvCxnSpPr>
        <xdr:spPr>
          <a:xfrm flipH="1">
            <a:off x="1308100" y="4584700"/>
            <a:ext cx="2679700" cy="0"/>
          </a:xfrm>
          <a:prstGeom prst="line">
            <a:avLst/>
          </a:prstGeom>
          <a:ln>
            <a:solidFill>
              <a:srgbClr val="FF0000"/>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4" name="直線矢印コネクタ 13"/>
          <xdr:cNvCxnSpPr/>
        </xdr:nvCxnSpPr>
        <xdr:spPr>
          <a:xfrm flipV="1">
            <a:off x="3987800" y="4318000"/>
            <a:ext cx="0" cy="273050"/>
          </a:xfrm>
          <a:prstGeom prst="straightConnector1">
            <a:avLst/>
          </a:prstGeom>
          <a:ln>
            <a:solidFill>
              <a:srgbClr val="FF0000"/>
            </a:solidFill>
            <a:tailEnd type="arrow"/>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38100</xdr:colOff>
      <xdr:row>11</xdr:row>
      <xdr:rowOff>25400</xdr:rowOff>
    </xdr:from>
    <xdr:to>
      <xdr:col>13</xdr:col>
      <xdr:colOff>203200</xdr:colOff>
      <xdr:row>16</xdr:row>
      <xdr:rowOff>0</xdr:rowOff>
    </xdr:to>
    <xdr:sp macro="" textlink="">
      <xdr:nvSpPr>
        <xdr:cNvPr id="19" name="右矢印 18"/>
        <xdr:cNvSpPr/>
      </xdr:nvSpPr>
      <xdr:spPr>
        <a:xfrm>
          <a:off x="6858000" y="2908300"/>
          <a:ext cx="406400" cy="1181100"/>
        </a:xfrm>
        <a:prstGeom prst="rightArrow">
          <a:avLst/>
        </a:prstGeom>
        <a:solidFill>
          <a:srgbClr val="FF0000"/>
        </a:solidFill>
        <a:ln>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61777</xdr:colOff>
      <xdr:row>21</xdr:row>
      <xdr:rowOff>31478</xdr:rowOff>
    </xdr:from>
    <xdr:to>
      <xdr:col>2</xdr:col>
      <xdr:colOff>8785860</xdr:colOff>
      <xdr:row>41</xdr:row>
      <xdr:rowOff>129572</xdr:rowOff>
    </xdr:to>
    <xdr:grpSp>
      <xdr:nvGrpSpPr>
        <xdr:cNvPr id="4" name="グループ化 3"/>
        <xdr:cNvGrpSpPr/>
      </xdr:nvGrpSpPr>
      <xdr:grpSpPr>
        <a:xfrm>
          <a:off x="480877" y="4816838"/>
          <a:ext cx="8724083" cy="3450894"/>
          <a:chOff x="85725" y="5549446"/>
          <a:chExt cx="8354771" cy="3480525"/>
        </a:xfrm>
      </xdr:grpSpPr>
      <xdr:pic>
        <xdr:nvPicPr>
          <xdr:cNvPr id="2" name="図 1"/>
          <xdr:cNvPicPr>
            <a:picLocks noChangeAspect="1"/>
          </xdr:cNvPicPr>
        </xdr:nvPicPr>
        <xdr:blipFill rotWithShape="1">
          <a:blip xmlns:r="http://schemas.openxmlformats.org/officeDocument/2006/relationships" r:embed="rId1"/>
          <a:srcRect b="25119"/>
          <a:stretch/>
        </xdr:blipFill>
        <xdr:spPr>
          <a:xfrm>
            <a:off x="85725" y="5549446"/>
            <a:ext cx="8272236" cy="3480525"/>
          </a:xfrm>
          <a:prstGeom prst="rect">
            <a:avLst/>
          </a:prstGeom>
        </xdr:spPr>
      </xdr:pic>
      <xdr:sp macro="" textlink="">
        <xdr:nvSpPr>
          <xdr:cNvPr id="3" name="角丸四角形 2"/>
          <xdr:cNvSpPr/>
        </xdr:nvSpPr>
        <xdr:spPr>
          <a:xfrm rot="511002">
            <a:off x="1893536" y="6009885"/>
            <a:ext cx="6546960" cy="738191"/>
          </a:xfrm>
          <a:prstGeom prst="roundRect">
            <a:avLst/>
          </a:prstGeom>
          <a:noFill/>
          <a:ln w="38100" cmpd="sng">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904875</xdr:colOff>
      <xdr:row>25</xdr:row>
      <xdr:rowOff>37423</xdr:rowOff>
    </xdr:from>
    <xdr:to>
      <xdr:col>22</xdr:col>
      <xdr:colOff>3175</xdr:colOff>
      <xdr:row>43</xdr:row>
      <xdr:rowOff>85725</xdr:rowOff>
    </xdr:to>
    <xdr:grpSp>
      <xdr:nvGrpSpPr>
        <xdr:cNvPr id="3" name="図形グループ 2"/>
        <xdr:cNvGrpSpPr/>
      </xdr:nvGrpSpPr>
      <xdr:grpSpPr>
        <a:xfrm>
          <a:off x="9467850" y="5018998"/>
          <a:ext cx="5880100" cy="3401102"/>
          <a:chOff x="12249150" y="3670300"/>
          <a:chExt cx="8845550" cy="5905500"/>
        </a:xfrm>
      </xdr:grpSpPr>
      <xdr:graphicFrame macro="">
        <xdr:nvGraphicFramePr>
          <xdr:cNvPr id="4" name="グラフ 3"/>
          <xdr:cNvGraphicFramePr/>
        </xdr:nvGraphicFramePr>
        <xdr:xfrm>
          <a:off x="12249150" y="3670300"/>
          <a:ext cx="8845550" cy="59055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直線矢印コネクタ 4"/>
          <xdr:cNvCxnSpPr/>
        </xdr:nvCxnSpPr>
        <xdr:spPr>
          <a:xfrm>
            <a:off x="18281650" y="4722199"/>
            <a:ext cx="0" cy="899953"/>
          </a:xfrm>
          <a:prstGeom prst="straightConnector1">
            <a:avLst/>
          </a:prstGeom>
          <a:ln w="28575" cmpd="sng">
            <a:solidFill>
              <a:srgbClr val="FF0000"/>
            </a:solidFill>
            <a:headEnd type="arrow"/>
            <a:tailEnd type="arrow"/>
          </a:ln>
        </xdr:spPr>
        <xdr:style>
          <a:lnRef idx="2">
            <a:schemeClr val="accent1"/>
          </a:lnRef>
          <a:fillRef idx="0">
            <a:schemeClr val="accent1"/>
          </a:fillRef>
          <a:effectRef idx="1">
            <a:schemeClr val="accent1"/>
          </a:effectRef>
          <a:fontRef idx="minor">
            <a:schemeClr val="tx1"/>
          </a:fontRef>
        </xdr:style>
      </xdr:cxnSp>
      <xdr:cxnSp macro="">
        <xdr:nvCxnSpPr>
          <xdr:cNvPr id="6" name="直線矢印コネクタ 5"/>
          <xdr:cNvCxnSpPr/>
        </xdr:nvCxnSpPr>
        <xdr:spPr>
          <a:xfrm>
            <a:off x="18281650" y="4221754"/>
            <a:ext cx="0" cy="508000"/>
          </a:xfrm>
          <a:prstGeom prst="straightConnector1">
            <a:avLst/>
          </a:prstGeom>
          <a:ln w="28575" cmpd="sng">
            <a:solidFill>
              <a:srgbClr val="FF0000"/>
            </a:solidFill>
            <a:headEnd type="none"/>
            <a:tailEnd type="arrow"/>
          </a:ln>
        </xdr:spPr>
        <xdr:style>
          <a:lnRef idx="2">
            <a:schemeClr val="accent1"/>
          </a:lnRef>
          <a:fillRef idx="0">
            <a:schemeClr val="accent1"/>
          </a:fillRef>
          <a:effectRef idx="1">
            <a:schemeClr val="accent1"/>
          </a:effectRef>
          <a:fontRef idx="minor">
            <a:schemeClr val="tx1"/>
          </a:fontRef>
        </xdr:style>
      </xdr:cxnSp>
      <xdr:cxnSp macro="">
        <xdr:nvCxnSpPr>
          <xdr:cNvPr id="7" name="直線矢印コネクタ 6"/>
          <xdr:cNvCxnSpPr/>
        </xdr:nvCxnSpPr>
        <xdr:spPr>
          <a:xfrm flipV="1">
            <a:off x="18281650" y="5656834"/>
            <a:ext cx="0" cy="507111"/>
          </a:xfrm>
          <a:prstGeom prst="straightConnector1">
            <a:avLst/>
          </a:prstGeom>
          <a:ln w="28575" cmpd="sng">
            <a:solidFill>
              <a:srgbClr val="FF0000"/>
            </a:solidFill>
            <a:headEnd type="none"/>
            <a:tailEnd type="arrow"/>
          </a:ln>
        </xdr:spPr>
        <xdr:style>
          <a:lnRef idx="2">
            <a:schemeClr val="accent1"/>
          </a:lnRef>
          <a:fillRef idx="0">
            <a:schemeClr val="accent1"/>
          </a:fillRef>
          <a:effectRef idx="1">
            <a:schemeClr val="accent1"/>
          </a:effectRef>
          <a:fontRef idx="minor">
            <a:schemeClr val="tx1"/>
          </a:fontRef>
        </xdr:style>
      </xdr:cxnSp>
      <xdr:sp macro="" textlink="">
        <xdr:nvSpPr>
          <xdr:cNvPr id="8" name="テキスト ボックス 7"/>
          <xdr:cNvSpPr txBox="1"/>
        </xdr:nvSpPr>
        <xdr:spPr>
          <a:xfrm>
            <a:off x="18338801" y="4291745"/>
            <a:ext cx="1862033" cy="311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rPr>
              <a:t>生育状態：</a:t>
            </a:r>
            <a:r>
              <a:rPr kumimoji="1" lang="en-US" altLang="ja-JP" sz="1100">
                <a:solidFill>
                  <a:srgbClr val="FF0000"/>
                </a:solidFill>
              </a:rPr>
              <a:t> </a:t>
            </a:r>
            <a:r>
              <a:rPr kumimoji="1" lang="ja-JP" altLang="en-US" sz="1100">
                <a:solidFill>
                  <a:srgbClr val="FF0000"/>
                </a:solidFill>
              </a:rPr>
              <a:t>良好</a:t>
            </a:r>
          </a:p>
        </xdr:txBody>
      </xdr:sp>
      <xdr:sp macro="" textlink="">
        <xdr:nvSpPr>
          <xdr:cNvPr id="9" name="テキスト ボックス 8"/>
          <xdr:cNvSpPr txBox="1"/>
        </xdr:nvSpPr>
        <xdr:spPr>
          <a:xfrm>
            <a:off x="18338799" y="5034839"/>
            <a:ext cx="1892451" cy="289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rPr>
              <a:t>生育状態：</a:t>
            </a:r>
            <a:r>
              <a:rPr kumimoji="1" lang="en-US" altLang="ja-JP" sz="1100">
                <a:solidFill>
                  <a:srgbClr val="FF0000"/>
                </a:solidFill>
              </a:rPr>
              <a:t> </a:t>
            </a:r>
            <a:r>
              <a:rPr kumimoji="1" lang="ja-JP" altLang="en-US" sz="1100">
                <a:solidFill>
                  <a:srgbClr val="FF0000"/>
                </a:solidFill>
              </a:rPr>
              <a:t>普通</a:t>
            </a:r>
          </a:p>
        </xdr:txBody>
      </xdr:sp>
      <xdr:sp macro="" textlink="">
        <xdr:nvSpPr>
          <xdr:cNvPr id="10" name="テキスト ボックス 9"/>
          <xdr:cNvSpPr txBox="1"/>
        </xdr:nvSpPr>
        <xdr:spPr>
          <a:xfrm>
            <a:off x="18338800" y="5784426"/>
            <a:ext cx="1909177" cy="263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rPr>
              <a:t>生育状態：</a:t>
            </a:r>
            <a:r>
              <a:rPr kumimoji="1" lang="en-US" altLang="ja-JP" sz="1100">
                <a:solidFill>
                  <a:srgbClr val="FF0000"/>
                </a:solidFill>
              </a:rPr>
              <a:t> </a:t>
            </a:r>
            <a:r>
              <a:rPr kumimoji="1" lang="ja-JP" altLang="en-US" sz="1100">
                <a:solidFill>
                  <a:srgbClr val="FF0000"/>
                </a:solidFill>
              </a:rPr>
              <a:t>不良</a:t>
            </a:r>
          </a:p>
        </xdr:txBody>
      </xdr:sp>
    </xdr:grpSp>
    <xdr:clientData/>
  </xdr:twoCellAnchor>
  <xdr:twoCellAnchor>
    <xdr:from>
      <xdr:col>3</xdr:col>
      <xdr:colOff>15875</xdr:colOff>
      <xdr:row>19</xdr:row>
      <xdr:rowOff>98425</xdr:rowOff>
    </xdr:from>
    <xdr:to>
      <xdr:col>9</xdr:col>
      <xdr:colOff>85725</xdr:colOff>
      <xdr:row>37</xdr:row>
      <xdr:rowOff>136525</xdr:rowOff>
    </xdr:to>
    <xdr:graphicFrame macro="">
      <xdr:nvGraphicFramePr>
        <xdr:cNvPr id="11"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9525</xdr:colOff>
      <xdr:row>13</xdr:row>
      <xdr:rowOff>158750</xdr:rowOff>
    </xdr:from>
    <xdr:to>
      <xdr:col>16</xdr:col>
      <xdr:colOff>252430</xdr:colOff>
      <xdr:row>20</xdr:row>
      <xdr:rowOff>131925</xdr:rowOff>
    </xdr:to>
    <xdr:pic>
      <xdr:nvPicPr>
        <xdr:cNvPr id="13" name="図 12"/>
        <xdr:cNvPicPr>
          <a:picLocks noChangeAspect="1"/>
        </xdr:cNvPicPr>
      </xdr:nvPicPr>
      <xdr:blipFill>
        <a:blip xmlns:r="http://schemas.openxmlformats.org/officeDocument/2006/relationships" r:embed="rId3"/>
        <a:stretch>
          <a:fillRect/>
        </a:stretch>
      </xdr:blipFill>
      <xdr:spPr>
        <a:xfrm>
          <a:off x="9725025" y="2968625"/>
          <a:ext cx="2395555" cy="124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428625</xdr:colOff>
      <xdr:row>7</xdr:row>
      <xdr:rowOff>152400</xdr:rowOff>
    </xdr:from>
    <xdr:to>
      <xdr:col>7</xdr:col>
      <xdr:colOff>26466</xdr:colOff>
      <xdr:row>10</xdr:row>
      <xdr:rowOff>171450</xdr:rowOff>
    </xdr:to>
    <xdr:pic>
      <xdr:nvPicPr>
        <xdr:cNvPr id="2" name="図 1"/>
        <xdr:cNvPicPr>
          <a:picLocks noChangeAspect="1"/>
        </xdr:cNvPicPr>
      </xdr:nvPicPr>
      <xdr:blipFill rotWithShape="1">
        <a:blip xmlns:r="http://schemas.openxmlformats.org/officeDocument/2006/relationships" r:embed="rId1"/>
        <a:srcRect l="32661" t="60748" r="17906" b="25453"/>
        <a:stretch/>
      </xdr:blipFill>
      <xdr:spPr>
        <a:xfrm>
          <a:off x="2486025" y="1600200"/>
          <a:ext cx="3579291" cy="5619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1045648</xdr:colOff>
      <xdr:row>15</xdr:row>
      <xdr:rowOff>66698</xdr:rowOff>
    </xdr:from>
    <xdr:to>
      <xdr:col>17</xdr:col>
      <xdr:colOff>1656953</xdr:colOff>
      <xdr:row>23</xdr:row>
      <xdr:rowOff>109140</xdr:rowOff>
    </xdr:to>
    <xdr:sp macro="" textlink="">
      <xdr:nvSpPr>
        <xdr:cNvPr id="3" name="テキスト ボックス 2"/>
        <xdr:cNvSpPr txBox="1"/>
      </xdr:nvSpPr>
      <xdr:spPr>
        <a:xfrm>
          <a:off x="12416117" y="3499667"/>
          <a:ext cx="5115836" cy="13918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参考：名古屋の平均蒸散量</a:t>
          </a:r>
          <a:r>
            <a:rPr kumimoji="1" lang="en-US" altLang="ja-JP" sz="1100"/>
            <a:t>3.48mm/d</a:t>
          </a:r>
          <a:r>
            <a:rPr kumimoji="1" lang="ja-JP" altLang="en-US" sz="1100"/>
            <a:t>から計算した</a:t>
          </a:r>
          <a:r>
            <a:rPr kumimoji="1" lang="en-US" altLang="ja-JP" sz="1100"/>
            <a:t>1m2</a:t>
          </a:r>
          <a:r>
            <a:rPr kumimoji="1" lang="ja-JP" altLang="en-US" sz="1100"/>
            <a:t>あたりの蒸散速度	</a:t>
          </a:r>
        </a:p>
        <a:p>
          <a:r>
            <a:rPr kumimoji="1" lang="en-US" altLang="ja-JP" sz="1100"/>
            <a:t>0.007257178	mm/min</a:t>
          </a:r>
        </a:p>
        <a:p>
          <a:r>
            <a:rPr kumimoji="1" lang="en-US" altLang="ja-JP" sz="1100"/>
            <a:t>7257.177777	mm3/min</a:t>
          </a:r>
        </a:p>
        <a:p>
          <a:r>
            <a:rPr kumimoji="1" lang="en-US" altLang="ja-JP" sz="1100"/>
            <a:t>7.257177777	ml/min/m2</a:t>
          </a:r>
        </a:p>
        <a:p>
          <a:r>
            <a:rPr kumimoji="1" lang="en-US" altLang="ja-JP" sz="1100"/>
            <a:t>→</a:t>
          </a:r>
          <a:r>
            <a:rPr kumimoji="1" lang="ja-JP" altLang="en-US" sz="1100"/>
            <a:t>ドライミストで基準としているクスノキの蒸散速度</a:t>
          </a:r>
          <a:r>
            <a:rPr kumimoji="1" lang="en-US" altLang="ja-JP" sz="1100"/>
            <a:t>(7.5ml/min/m2)</a:t>
          </a:r>
          <a:r>
            <a:rPr kumimoji="1" lang="ja-JP" altLang="en-US" sz="1100"/>
            <a:t>に近似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18</xdr:row>
      <xdr:rowOff>0</xdr:rowOff>
    </xdr:from>
    <xdr:to>
      <xdr:col>5</xdr:col>
      <xdr:colOff>520700</xdr:colOff>
      <xdr:row>20</xdr:row>
      <xdr:rowOff>25400</xdr:rowOff>
    </xdr:to>
    <xdr:grpSp>
      <xdr:nvGrpSpPr>
        <xdr:cNvPr id="2" name="図形グループ 14"/>
        <xdr:cNvGrpSpPr/>
      </xdr:nvGrpSpPr>
      <xdr:grpSpPr>
        <a:xfrm>
          <a:off x="1438275" y="4467225"/>
          <a:ext cx="2025650" cy="501650"/>
          <a:chOff x="1308100" y="4318000"/>
          <a:chExt cx="2679700" cy="508000"/>
        </a:xfrm>
        <a:effectLst/>
      </xdr:grpSpPr>
      <xdr:cxnSp macro="">
        <xdr:nvCxnSpPr>
          <xdr:cNvPr id="3" name="直線コネクタ 2"/>
          <xdr:cNvCxnSpPr/>
        </xdr:nvCxnSpPr>
        <xdr:spPr>
          <a:xfrm flipV="1">
            <a:off x="1320800" y="4572000"/>
            <a:ext cx="0" cy="254000"/>
          </a:xfrm>
          <a:prstGeom prst="line">
            <a:avLst/>
          </a:prstGeom>
          <a:ln>
            <a:solidFill>
              <a:srgbClr val="FF0000"/>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 name="直線コネクタ 3"/>
          <xdr:cNvCxnSpPr/>
        </xdr:nvCxnSpPr>
        <xdr:spPr>
          <a:xfrm flipH="1">
            <a:off x="1308100" y="4584700"/>
            <a:ext cx="2679700" cy="0"/>
          </a:xfrm>
          <a:prstGeom prst="line">
            <a:avLst/>
          </a:prstGeom>
          <a:ln>
            <a:solidFill>
              <a:srgbClr val="FF0000"/>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 name="直線矢印コネクタ 4"/>
          <xdr:cNvCxnSpPr/>
        </xdr:nvCxnSpPr>
        <xdr:spPr>
          <a:xfrm flipV="1">
            <a:off x="3987800" y="4318000"/>
            <a:ext cx="0" cy="273050"/>
          </a:xfrm>
          <a:prstGeom prst="straightConnector1">
            <a:avLst/>
          </a:prstGeom>
          <a:ln>
            <a:solidFill>
              <a:srgbClr val="FF0000"/>
            </a:solidFill>
            <a:tailEnd type="arrow"/>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13</xdr:col>
      <xdr:colOff>38100</xdr:colOff>
      <xdr:row>11</xdr:row>
      <xdr:rowOff>25400</xdr:rowOff>
    </xdr:from>
    <xdr:to>
      <xdr:col>14</xdr:col>
      <xdr:colOff>203200</xdr:colOff>
      <xdr:row>16</xdr:row>
      <xdr:rowOff>0</xdr:rowOff>
    </xdr:to>
    <xdr:sp macro="" textlink="">
      <xdr:nvSpPr>
        <xdr:cNvPr id="6" name="右矢印 5"/>
        <xdr:cNvSpPr/>
      </xdr:nvSpPr>
      <xdr:spPr>
        <a:xfrm>
          <a:off x="6029325" y="2825750"/>
          <a:ext cx="403225" cy="1165225"/>
        </a:xfrm>
        <a:prstGeom prst="rightArrow">
          <a:avLst/>
        </a:prstGeom>
        <a:solidFill>
          <a:srgbClr val="FF0000"/>
        </a:solidFill>
        <a:ln>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177799</xdr:colOff>
      <xdr:row>178</xdr:row>
      <xdr:rowOff>50800</xdr:rowOff>
    </xdr:from>
    <xdr:to>
      <xdr:col>17</xdr:col>
      <xdr:colOff>247649</xdr:colOff>
      <xdr:row>186</xdr:row>
      <xdr:rowOff>85725</xdr:rowOff>
    </xdr:to>
    <xdr:sp macro="" textlink="">
      <xdr:nvSpPr>
        <xdr:cNvPr id="7" name="テキスト ボックス 6"/>
        <xdr:cNvSpPr txBox="1"/>
      </xdr:nvSpPr>
      <xdr:spPr>
        <a:xfrm>
          <a:off x="4940299" y="7851775"/>
          <a:ext cx="3508375" cy="1482725"/>
        </a:xfrm>
        <a:prstGeom prst="rect">
          <a:avLst/>
        </a:prstGeom>
        <a:solidFill>
          <a:srgbClr val="C0504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FFFF"/>
              </a:solidFill>
            </a:rPr>
            <a:t>電気料金と水道料金は地域によって異なる（水道料金は数倍）ので、ユーザーに入力してもらってもいいかも知れない・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266700</xdr:colOff>
      <xdr:row>3</xdr:row>
      <xdr:rowOff>88900</xdr:rowOff>
    </xdr:from>
    <xdr:to>
      <xdr:col>22</xdr:col>
      <xdr:colOff>342900</xdr:colOff>
      <xdr:row>6</xdr:row>
      <xdr:rowOff>76200</xdr:rowOff>
    </xdr:to>
    <xdr:sp macro="" textlink="">
      <xdr:nvSpPr>
        <xdr:cNvPr id="2" name="テキスト ボックス 1"/>
        <xdr:cNvSpPr txBox="1"/>
      </xdr:nvSpPr>
      <xdr:spPr>
        <a:xfrm>
          <a:off x="17780000" y="1181100"/>
          <a:ext cx="4978400" cy="7239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考察</a:t>
          </a:r>
          <a:endParaRPr kumimoji="1" lang="en-US" altLang="ja-JP" sz="1100"/>
        </a:p>
        <a:p>
          <a:r>
            <a:rPr kumimoji="1" lang="ja-JP" altLang="en-US" sz="1100"/>
            <a:t>木１本あたり冷房費年間</a:t>
          </a:r>
          <a:r>
            <a:rPr kumimoji="1" lang="en-US" altLang="ja-JP" sz="1100"/>
            <a:t>2~25</a:t>
          </a:r>
          <a:r>
            <a:rPr kumimoji="1" lang="ja-JP" altLang="en-US" sz="1100"/>
            <a:t>ドル削減</a:t>
          </a:r>
          <a:r>
            <a:rPr kumimoji="1" lang="en-US" altLang="ja-JP" sz="1100"/>
            <a:t>(Table1).pdf</a:t>
          </a:r>
        </a:p>
        <a:p>
          <a:r>
            <a:rPr kumimoji="1" lang="ja-JP" altLang="en-US" sz="1100"/>
            <a:t>木１本あたり冷房費年間</a:t>
          </a:r>
          <a:r>
            <a:rPr kumimoji="1" lang="en-US" altLang="ja-JP" sz="1100"/>
            <a:t>15</a:t>
          </a:r>
          <a:r>
            <a:rPr kumimoji="1" lang="ja-JP" altLang="en-US" sz="1100"/>
            <a:t>ドル削減</a:t>
          </a:r>
          <a:r>
            <a:rPr kumimoji="1" lang="en-US" altLang="ja-JP" sz="1100"/>
            <a:t>(</a:t>
          </a:r>
          <a:r>
            <a:rPr kumimoji="1" lang="ja-JP" altLang="en-US" sz="1100"/>
            <a:t>シカゴ</a:t>
          </a:r>
          <a:r>
            <a:rPr kumimoji="1" lang="en-US" altLang="ja-JP" sz="1100"/>
            <a:t>).pdf</a:t>
          </a:r>
        </a:p>
        <a:p>
          <a:r>
            <a:rPr kumimoji="1" lang="en-US" altLang="ja-JP" sz="1100"/>
            <a:t>→</a:t>
          </a:r>
          <a:r>
            <a:rPr kumimoji="1" lang="ja-JP" altLang="en-US" sz="1100"/>
            <a:t>日陰効果も入っているが、これから考えればあながちおかしい値ではなさそう。</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355600</xdr:colOff>
      <xdr:row>12</xdr:row>
      <xdr:rowOff>12700</xdr:rowOff>
    </xdr:from>
    <xdr:to>
      <xdr:col>18</xdr:col>
      <xdr:colOff>152400</xdr:colOff>
      <xdr:row>23</xdr:row>
      <xdr:rowOff>203200</xdr:rowOff>
    </xdr:to>
    <xdr:pic>
      <xdr:nvPicPr>
        <xdr:cNvPr id="2" name="図 1"/>
        <xdr:cNvPicPr>
          <a:picLocks noChangeAspect="1"/>
        </xdr:cNvPicPr>
      </xdr:nvPicPr>
      <xdr:blipFill>
        <a:blip xmlns:r="http://schemas.openxmlformats.org/officeDocument/2006/relationships" r:embed="rId1"/>
        <a:stretch>
          <a:fillRect/>
        </a:stretch>
      </xdr:blipFill>
      <xdr:spPr>
        <a:xfrm>
          <a:off x="16598900" y="2755900"/>
          <a:ext cx="5664200" cy="2705100"/>
        </a:xfrm>
        <a:prstGeom prst="rect">
          <a:avLst/>
        </a:prstGeom>
      </xdr:spPr>
    </xdr:pic>
    <xdr:clientData/>
  </xdr:twoCellAnchor>
  <xdr:twoCellAnchor>
    <xdr:from>
      <xdr:col>7</xdr:col>
      <xdr:colOff>469900</xdr:colOff>
      <xdr:row>10</xdr:row>
      <xdr:rowOff>203200</xdr:rowOff>
    </xdr:from>
    <xdr:to>
      <xdr:col>11</xdr:col>
      <xdr:colOff>457200</xdr:colOff>
      <xdr:row>15</xdr:row>
      <xdr:rowOff>114300</xdr:rowOff>
    </xdr:to>
    <xdr:grpSp>
      <xdr:nvGrpSpPr>
        <xdr:cNvPr id="9" name="図形グループ 8"/>
        <xdr:cNvGrpSpPr/>
      </xdr:nvGrpSpPr>
      <xdr:grpSpPr>
        <a:xfrm>
          <a:off x="11833225" y="1993900"/>
          <a:ext cx="3911600" cy="835025"/>
          <a:chOff x="12331700" y="4800600"/>
          <a:chExt cx="3898900" cy="1054100"/>
        </a:xfrm>
      </xdr:grpSpPr>
      <xdr:pic>
        <xdr:nvPicPr>
          <xdr:cNvPr id="3" name="図 2"/>
          <xdr:cNvPicPr>
            <a:picLocks noChangeAspect="1"/>
          </xdr:cNvPicPr>
        </xdr:nvPicPr>
        <xdr:blipFill>
          <a:blip xmlns:r="http://schemas.openxmlformats.org/officeDocument/2006/relationships" r:embed="rId2"/>
          <a:stretch>
            <a:fillRect/>
          </a:stretch>
        </xdr:blipFill>
        <xdr:spPr>
          <a:xfrm>
            <a:off x="12331700" y="4800600"/>
            <a:ext cx="3898900" cy="1054100"/>
          </a:xfrm>
          <a:prstGeom prst="rect">
            <a:avLst/>
          </a:prstGeom>
        </xdr:spPr>
      </xdr:pic>
      <xdr:sp macro="" textlink="">
        <xdr:nvSpPr>
          <xdr:cNvPr id="6" name="テキスト ボックス 5"/>
          <xdr:cNvSpPr txBox="1"/>
        </xdr:nvSpPr>
        <xdr:spPr>
          <a:xfrm>
            <a:off x="15290800" y="4851400"/>
            <a:ext cx="533400" cy="457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b="1">
                <a:solidFill>
                  <a:srgbClr val="FF0000"/>
                </a:solidFill>
              </a:rPr>
              <a:t>Ⓑ</a:t>
            </a:r>
            <a:endParaRPr kumimoji="1" lang="ja-JP" altLang="en-US" sz="1800" b="1">
              <a:solidFill>
                <a:srgbClr val="FF0000"/>
              </a:solidFill>
            </a:endParaRPr>
          </a:p>
        </xdr:txBody>
      </xdr:sp>
    </xdr:grpSp>
    <xdr:clientData/>
  </xdr:twoCellAnchor>
  <xdr:twoCellAnchor>
    <xdr:from>
      <xdr:col>0</xdr:col>
      <xdr:colOff>482600</xdr:colOff>
      <xdr:row>12</xdr:row>
      <xdr:rowOff>76200</xdr:rowOff>
    </xdr:from>
    <xdr:to>
      <xdr:col>6</xdr:col>
      <xdr:colOff>101600</xdr:colOff>
      <xdr:row>52</xdr:row>
      <xdr:rowOff>12700</xdr:rowOff>
    </xdr:to>
    <xdr:grpSp>
      <xdr:nvGrpSpPr>
        <xdr:cNvPr id="8" name="図形グループ 7"/>
        <xdr:cNvGrpSpPr/>
      </xdr:nvGrpSpPr>
      <xdr:grpSpPr>
        <a:xfrm>
          <a:off x="482600" y="2247900"/>
          <a:ext cx="10001250" cy="7175500"/>
          <a:chOff x="127000" y="5156200"/>
          <a:chExt cx="9994900" cy="9080500"/>
        </a:xfrm>
      </xdr:grpSpPr>
      <xdr:pic>
        <xdr:nvPicPr>
          <xdr:cNvPr id="4" name="図 3"/>
          <xdr:cNvPicPr>
            <a:picLocks noChangeAspect="1"/>
          </xdr:cNvPicPr>
        </xdr:nvPicPr>
        <xdr:blipFill>
          <a:blip xmlns:r="http://schemas.openxmlformats.org/officeDocument/2006/relationships" r:embed="rId3"/>
          <a:stretch>
            <a:fillRect/>
          </a:stretch>
        </xdr:blipFill>
        <xdr:spPr>
          <a:xfrm>
            <a:off x="127000" y="5156200"/>
            <a:ext cx="9994900" cy="9080500"/>
          </a:xfrm>
          <a:prstGeom prst="rect">
            <a:avLst/>
          </a:prstGeom>
        </xdr:spPr>
      </xdr:pic>
      <xdr:sp macro="" textlink="">
        <xdr:nvSpPr>
          <xdr:cNvPr id="7" name="テキスト ボックス 6"/>
          <xdr:cNvSpPr txBox="1"/>
        </xdr:nvSpPr>
        <xdr:spPr>
          <a:xfrm>
            <a:off x="4140200" y="11569700"/>
            <a:ext cx="520700" cy="520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b="1">
                <a:solidFill>
                  <a:srgbClr val="FF0000"/>
                </a:solidFill>
              </a:rPr>
              <a:t>Ⓐ</a:t>
            </a:r>
            <a:endParaRPr kumimoji="1" lang="ja-JP" altLang="en-US" sz="1800" b="1">
              <a:solidFill>
                <a:srgbClr val="FF0000"/>
              </a:solidFill>
            </a:endParaRPr>
          </a:p>
        </xdr:txBody>
      </xdr:sp>
    </xdr:grpSp>
    <xdr:clientData/>
  </xdr:twoCellAnchor>
  <xdr:twoCellAnchor>
    <xdr:from>
      <xdr:col>16</xdr:col>
      <xdr:colOff>762000</xdr:colOff>
      <xdr:row>11</xdr:row>
      <xdr:rowOff>177800</xdr:rowOff>
    </xdr:from>
    <xdr:to>
      <xdr:col>18</xdr:col>
      <xdr:colOff>25400</xdr:colOff>
      <xdr:row>13</xdr:row>
      <xdr:rowOff>76200</xdr:rowOff>
    </xdr:to>
    <xdr:sp macro="" textlink="">
      <xdr:nvSpPr>
        <xdr:cNvPr id="10" name="テキスト ボックス 9"/>
        <xdr:cNvSpPr txBox="1"/>
      </xdr:nvSpPr>
      <xdr:spPr>
        <a:xfrm>
          <a:off x="20916900" y="2692400"/>
          <a:ext cx="1219200" cy="355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用パラメータ</a:t>
          </a:r>
          <a:endParaRPr kumimoji="1" lang="en-US" altLang="ja-JP"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irdlife-915\Tokyo%20Data_915\Volumes\Tokyo%20Data\021_&#20225;&#26989;&#12392;&#29983;&#29289;&#22810;&#27096;&#24615;\&#12488;&#12520;&#12479;%202015\&#12488;&#12520;&#12479;&#29983;&#29289;&#22810;&#27096;&#24615;&#35413;&#20385;\&#26426;&#19978;&#35413;&#20385;&#12484;&#12540;&#12523;\&#26426;&#19978;&#35413;&#20385;&#12484;&#12540;&#12523;ver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ツール（単独）"/>
      <sheetName val="CO2固定"/>
      <sheetName val="生育指数"/>
      <sheetName val="蒸散（エアコン）"/>
      <sheetName val="蒸散（ドライミスト）"/>
      <sheetName val="大気浄化"/>
      <sheetName val="貯水量"/>
      <sheetName val=""/>
      <sheetName val="ツール（複数同時）"/>
      <sheetName val="愛知県CO2"/>
      <sheetName val="NOx &amp; SOx"/>
      <sheetName val="貯水・浄水"/>
      <sheetName val="蒸散"/>
      <sheetName val="蒸散・Makkink式パラメータ"/>
      <sheetName val="気象情報の入手方法"/>
      <sheetName val="気象情報"/>
    </sheetNames>
    <sheetDataSet>
      <sheetData sheetId="0" refreshError="1"/>
      <sheetData sheetId="1">
        <row r="33">
          <cell r="C33" t="str">
            <v>北海道</v>
          </cell>
        </row>
        <row r="34">
          <cell r="C34" t="str">
            <v>青森県</v>
          </cell>
        </row>
        <row r="35">
          <cell r="C35" t="str">
            <v>岩手県</v>
          </cell>
        </row>
        <row r="36">
          <cell r="C36" t="str">
            <v>宮城県</v>
          </cell>
        </row>
        <row r="37">
          <cell r="C37" t="str">
            <v>秋田県</v>
          </cell>
        </row>
        <row r="38">
          <cell r="C38" t="str">
            <v>山形県</v>
          </cell>
        </row>
        <row r="39">
          <cell r="C39" t="str">
            <v>福島県</v>
          </cell>
        </row>
        <row r="40">
          <cell r="C40" t="str">
            <v>茨城県</v>
          </cell>
        </row>
        <row r="41">
          <cell r="C41" t="str">
            <v>栃木県</v>
          </cell>
        </row>
        <row r="42">
          <cell r="C42" t="str">
            <v>群馬県</v>
          </cell>
        </row>
        <row r="43">
          <cell r="C43" t="str">
            <v>埼玉県</v>
          </cell>
        </row>
        <row r="44">
          <cell r="C44" t="str">
            <v>千葉県</v>
          </cell>
        </row>
        <row r="45">
          <cell r="C45" t="str">
            <v>東京都</v>
          </cell>
        </row>
        <row r="46">
          <cell r="C46" t="str">
            <v>神奈川県</v>
          </cell>
        </row>
        <row r="47">
          <cell r="C47" t="str">
            <v>新潟県</v>
          </cell>
        </row>
        <row r="48">
          <cell r="C48" t="str">
            <v>富山県</v>
          </cell>
        </row>
        <row r="49">
          <cell r="C49" t="str">
            <v>石川県</v>
          </cell>
        </row>
        <row r="50">
          <cell r="C50" t="str">
            <v>福井県</v>
          </cell>
        </row>
        <row r="51">
          <cell r="C51" t="str">
            <v>山梨県</v>
          </cell>
        </row>
        <row r="52">
          <cell r="C52" t="str">
            <v>長野県</v>
          </cell>
        </row>
        <row r="53">
          <cell r="C53" t="str">
            <v>岐阜県</v>
          </cell>
        </row>
        <row r="54">
          <cell r="C54" t="str">
            <v>静岡県</v>
          </cell>
        </row>
        <row r="55">
          <cell r="C55" t="str">
            <v>愛知県</v>
          </cell>
        </row>
        <row r="56">
          <cell r="C56" t="str">
            <v>三重県</v>
          </cell>
        </row>
        <row r="57">
          <cell r="C57" t="str">
            <v>滋賀県</v>
          </cell>
        </row>
        <row r="58">
          <cell r="C58" t="str">
            <v>京都府</v>
          </cell>
        </row>
        <row r="59">
          <cell r="C59" t="str">
            <v>大阪府</v>
          </cell>
        </row>
        <row r="60">
          <cell r="C60" t="str">
            <v>兵庫県</v>
          </cell>
        </row>
        <row r="61">
          <cell r="C61" t="str">
            <v>奈良県</v>
          </cell>
        </row>
        <row r="62">
          <cell r="C62" t="str">
            <v>和歌山県</v>
          </cell>
        </row>
        <row r="63">
          <cell r="C63" t="str">
            <v>鳥取県</v>
          </cell>
        </row>
        <row r="64">
          <cell r="C64" t="str">
            <v>島根県</v>
          </cell>
        </row>
        <row r="65">
          <cell r="C65" t="str">
            <v>岡山県</v>
          </cell>
        </row>
        <row r="66">
          <cell r="C66" t="str">
            <v>広島県</v>
          </cell>
        </row>
        <row r="67">
          <cell r="C67" t="str">
            <v>山口県</v>
          </cell>
        </row>
        <row r="68">
          <cell r="C68" t="str">
            <v>徳島県</v>
          </cell>
        </row>
        <row r="69">
          <cell r="C69" t="str">
            <v>香川県</v>
          </cell>
        </row>
        <row r="70">
          <cell r="C70" t="str">
            <v>愛媛県</v>
          </cell>
        </row>
        <row r="71">
          <cell r="C71" t="str">
            <v>高知県</v>
          </cell>
        </row>
        <row r="72">
          <cell r="C72" t="str">
            <v>福岡県</v>
          </cell>
        </row>
        <row r="73">
          <cell r="C73" t="str">
            <v>佐賀県</v>
          </cell>
        </row>
        <row r="74">
          <cell r="C74" t="str">
            <v>長崎県</v>
          </cell>
        </row>
        <row r="75">
          <cell r="C75" t="str">
            <v>熊本県</v>
          </cell>
        </row>
        <row r="76">
          <cell r="C76" t="str">
            <v>大分県</v>
          </cell>
        </row>
        <row r="77">
          <cell r="C77" t="str">
            <v>宮崎県</v>
          </cell>
        </row>
        <row r="78">
          <cell r="C78" t="str">
            <v>鹿児島県</v>
          </cell>
        </row>
        <row r="79">
          <cell r="C79" t="str">
            <v>沖縄県</v>
          </cell>
        </row>
      </sheetData>
      <sheetData sheetId="2"/>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rs.kagu.tus.ac.jp/tujimoto/2006oteyama.pdf" TargetMode="External"/><Relationship Id="rId2" Type="http://schemas.openxmlformats.org/officeDocument/2006/relationships/hyperlink" Target="http://www.rs.kagu.tus.ac.jp/tujimoto/2006oteyama.pdf" TargetMode="External"/><Relationship Id="rId1" Type="http://schemas.openxmlformats.org/officeDocument/2006/relationships/hyperlink" Target="http://www.rs.kagu.tus.ac.jp/tujimoto/2006oteyama.pdf" TargetMode="External"/><Relationship Id="rId5" Type="http://schemas.openxmlformats.org/officeDocument/2006/relationships/drawing" Target="../drawings/drawing5.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ites.google.com/site/taronakai/research_topic/forest_canopy_height"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www.data.jma.go.jp/obd/stats/etrn/index.php"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AO178"/>
  <sheetViews>
    <sheetView tabSelected="1" zoomScale="85" zoomScaleNormal="85" zoomScaleSheetLayoutView="100" workbookViewId="0">
      <selection activeCell="E9" sqref="E9:G9"/>
    </sheetView>
  </sheetViews>
  <sheetFormatPr defaultColWidth="12.8984375" defaultRowHeight="14.4"/>
  <cols>
    <col min="1" max="2" width="3.09765625" style="376" customWidth="1"/>
    <col min="3" max="3" width="8.8984375" style="376" customWidth="1"/>
    <col min="4" max="4" width="9.09765625" style="376" customWidth="1"/>
    <col min="5" max="5" width="5.09765625" style="376" customWidth="1"/>
    <col min="6" max="6" width="11" style="376" customWidth="1"/>
    <col min="7" max="7" width="6.59765625" style="376" customWidth="1"/>
    <col min="8" max="8" width="5.19921875" style="376" customWidth="1"/>
    <col min="9" max="9" width="12.09765625" style="376" bestFit="1" customWidth="1"/>
    <col min="10" max="10" width="3.5" style="376" bestFit="1" customWidth="1"/>
    <col min="11" max="11" width="5.5" style="376" bestFit="1" customWidth="1"/>
    <col min="12" max="15" width="3.09765625" style="376" customWidth="1"/>
    <col min="16" max="16" width="12.09765625" style="376" customWidth="1"/>
    <col min="17" max="17" width="19.59765625" style="376" customWidth="1"/>
    <col min="18" max="18" width="14" style="376" bestFit="1" customWidth="1"/>
    <col min="19" max="19" width="16.5" style="376" customWidth="1"/>
    <col min="20" max="20" width="10.5" style="376" bestFit="1" customWidth="1"/>
    <col min="21" max="21" width="22.09765625" style="376" customWidth="1"/>
    <col min="22" max="22" width="12.59765625" style="376" bestFit="1" customWidth="1"/>
    <col min="23" max="24" width="3.09765625" style="376" customWidth="1"/>
    <col min="25" max="25" width="5.09765625" style="376" hidden="1" customWidth="1"/>
    <col min="26" max="26" width="12.59765625" style="831" hidden="1" customWidth="1"/>
    <col min="27" max="27" width="11.69921875" style="831" hidden="1" customWidth="1"/>
    <col min="28" max="28" width="11.59765625" style="831" hidden="1" customWidth="1"/>
    <col min="29" max="29" width="10.3984375" style="831" hidden="1" customWidth="1"/>
    <col min="30" max="30" width="11.8984375" style="831" hidden="1" customWidth="1"/>
    <col min="31" max="31" width="12.59765625" style="831" hidden="1" customWidth="1"/>
    <col min="32" max="32" width="9.59765625" style="831" hidden="1" customWidth="1"/>
    <col min="33" max="33" width="10.59765625" style="831" hidden="1" customWidth="1"/>
    <col min="34" max="34" width="10.69921875" style="831" hidden="1" customWidth="1"/>
    <col min="35" max="35" width="10.59765625" style="831" hidden="1" customWidth="1"/>
    <col min="36" max="36" width="9.3984375" style="831" hidden="1" customWidth="1"/>
    <col min="37" max="37" width="11.8984375" style="831" hidden="1" customWidth="1"/>
    <col min="38" max="38" width="7.59765625" style="831" hidden="1" customWidth="1"/>
    <col min="39" max="39" width="9.59765625" style="831" hidden="1" customWidth="1"/>
    <col min="40" max="40" width="9.09765625" style="831" hidden="1" customWidth="1"/>
    <col min="41" max="41" width="8.8984375" style="831" hidden="1" customWidth="1"/>
    <col min="42" max="16384" width="12.8984375" style="376"/>
  </cols>
  <sheetData>
    <row r="1" spans="1:41" ht="15" thickBot="1">
      <c r="A1" s="54"/>
      <c r="B1" s="54"/>
      <c r="C1" s="54"/>
      <c r="D1" s="54"/>
      <c r="E1" s="54"/>
      <c r="F1" s="54"/>
      <c r="G1" s="54"/>
      <c r="H1" s="54"/>
      <c r="I1" s="54"/>
      <c r="J1" s="54"/>
      <c r="K1" s="54"/>
      <c r="L1" s="54"/>
      <c r="M1" s="54"/>
      <c r="N1" s="54"/>
      <c r="O1" s="54"/>
      <c r="P1" s="54"/>
      <c r="Q1" s="54"/>
      <c r="R1" s="54"/>
      <c r="S1" s="54"/>
      <c r="T1" s="54"/>
      <c r="U1" s="54"/>
      <c r="V1" s="54"/>
      <c r="W1" s="54"/>
      <c r="X1" s="54"/>
      <c r="Y1" s="52"/>
      <c r="Z1" s="471" t="s">
        <v>1124</v>
      </c>
      <c r="AA1" s="471"/>
      <c r="AB1" s="471"/>
      <c r="AC1" s="471"/>
      <c r="AD1" s="471"/>
      <c r="AE1" s="471"/>
      <c r="AF1" s="471"/>
      <c r="AG1" s="472" t="s">
        <v>1125</v>
      </c>
      <c r="AH1" s="472"/>
      <c r="AI1" s="472"/>
      <c r="AJ1" s="472"/>
      <c r="AK1" s="472"/>
      <c r="AL1" s="472"/>
      <c r="AM1" s="472"/>
      <c r="AN1" s="472"/>
      <c r="AO1" s="472"/>
    </row>
    <row r="2" spans="1:41" ht="36.9" customHeight="1" thickTop="1" thickBot="1">
      <c r="A2" s="54"/>
      <c r="B2" s="441" t="s">
        <v>502</v>
      </c>
      <c r="C2" s="442"/>
      <c r="D2" s="442"/>
      <c r="E2" s="442"/>
      <c r="F2" s="442"/>
      <c r="G2" s="442"/>
      <c r="H2" s="442"/>
      <c r="I2" s="442"/>
      <c r="J2" s="442"/>
      <c r="K2" s="442"/>
      <c r="L2" s="442"/>
      <c r="M2" s="442"/>
      <c r="N2" s="442"/>
      <c r="O2" s="442"/>
      <c r="P2" s="442"/>
      <c r="Q2" s="442"/>
      <c r="R2" s="442"/>
      <c r="S2" s="442"/>
      <c r="T2" s="442"/>
      <c r="U2" s="442"/>
      <c r="V2" s="442"/>
      <c r="W2" s="443"/>
      <c r="X2" s="54"/>
      <c r="Y2"/>
      <c r="Z2" s="346" t="s">
        <v>1126</v>
      </c>
      <c r="AA2" s="473" t="s">
        <v>1127</v>
      </c>
      <c r="AB2" s="473"/>
      <c r="AC2" s="473"/>
      <c r="AD2" s="346" t="s">
        <v>1128</v>
      </c>
      <c r="AE2" s="346" t="s">
        <v>1129</v>
      </c>
      <c r="AF2" s="346" t="s">
        <v>1130</v>
      </c>
      <c r="AG2" s="347" t="s">
        <v>1126</v>
      </c>
      <c r="AH2" s="474" t="s">
        <v>1127</v>
      </c>
      <c r="AI2" s="474"/>
      <c r="AJ2" s="474"/>
      <c r="AK2" s="347" t="s">
        <v>1128</v>
      </c>
      <c r="AL2" s="347" t="s">
        <v>1129</v>
      </c>
      <c r="AM2" s="347" t="s">
        <v>1130</v>
      </c>
      <c r="AN2" s="475" t="s">
        <v>1131</v>
      </c>
      <c r="AO2" s="476" t="s">
        <v>1132</v>
      </c>
    </row>
    <row r="3" spans="1:41" ht="18.899999999999999" customHeight="1" thickTop="1" thickBot="1">
      <c r="A3" s="54"/>
      <c r="B3" s="72"/>
      <c r="C3" s="72"/>
      <c r="D3" s="72"/>
      <c r="E3" s="72"/>
      <c r="F3" s="72"/>
      <c r="G3" s="72"/>
      <c r="H3" s="72"/>
      <c r="I3" s="72"/>
      <c r="J3" s="72"/>
      <c r="K3" s="72"/>
      <c r="L3" s="72"/>
      <c r="M3" s="72"/>
      <c r="N3" s="72"/>
      <c r="O3" s="72"/>
      <c r="P3" s="72"/>
      <c r="Q3" s="72"/>
      <c r="R3" s="72"/>
      <c r="S3" s="72"/>
      <c r="T3" s="72"/>
      <c r="U3" s="72"/>
      <c r="V3" s="72"/>
      <c r="W3" s="72"/>
      <c r="X3" s="54"/>
      <c r="Y3"/>
      <c r="Z3" s="349" t="s">
        <v>1137</v>
      </c>
      <c r="AA3" s="349" t="s">
        <v>1138</v>
      </c>
      <c r="AB3" s="349" t="s">
        <v>1139</v>
      </c>
      <c r="AC3" s="349" t="s">
        <v>1140</v>
      </c>
      <c r="AD3" s="349" t="s">
        <v>1141</v>
      </c>
      <c r="AE3" s="349" t="s">
        <v>1142</v>
      </c>
      <c r="AF3" s="349" t="s">
        <v>1143</v>
      </c>
      <c r="AG3" s="350" t="s">
        <v>1133</v>
      </c>
      <c r="AH3" s="348" t="s">
        <v>1144</v>
      </c>
      <c r="AI3" s="348" t="s">
        <v>1145</v>
      </c>
      <c r="AJ3" s="348" t="s">
        <v>1146</v>
      </c>
      <c r="AK3" s="348" t="s">
        <v>1134</v>
      </c>
      <c r="AL3" s="348" t="s">
        <v>1135</v>
      </c>
      <c r="AM3" s="348" t="s">
        <v>1136</v>
      </c>
      <c r="AN3" s="475"/>
      <c r="AO3" s="477"/>
    </row>
    <row r="4" spans="1:41" ht="18.899999999999999" customHeight="1" thickTop="1">
      <c r="A4" s="54"/>
      <c r="B4" s="371"/>
      <c r="C4" s="372"/>
      <c r="D4" s="372"/>
      <c r="E4" s="372"/>
      <c r="F4" s="372"/>
      <c r="G4" s="372"/>
      <c r="H4" s="372"/>
      <c r="I4" s="372"/>
      <c r="J4" s="372"/>
      <c r="K4" s="372"/>
      <c r="L4" s="373"/>
      <c r="M4" s="54"/>
      <c r="N4" s="54"/>
      <c r="O4" s="371"/>
      <c r="P4" s="372"/>
      <c r="Q4" s="372"/>
      <c r="R4" s="372"/>
      <c r="S4" s="372"/>
      <c r="T4" s="372"/>
      <c r="U4" s="372"/>
      <c r="V4" s="372"/>
      <c r="W4" s="373"/>
      <c r="X4" s="54"/>
      <c r="Y4"/>
      <c r="Z4" s="352" t="str">
        <f>S10</f>
        <v/>
      </c>
      <c r="AA4" s="352" t="str">
        <f>S12</f>
        <v/>
      </c>
      <c r="AB4" s="352" t="str">
        <f>S14</f>
        <v/>
      </c>
      <c r="AC4" s="352" t="str">
        <f>S16</f>
        <v/>
      </c>
      <c r="AD4" s="352" t="str">
        <f>S18</f>
        <v/>
      </c>
      <c r="AE4" s="352" t="str">
        <f>S20</f>
        <v/>
      </c>
      <c r="AF4" s="352" t="str">
        <f>S22</f>
        <v/>
      </c>
      <c r="AG4" s="353" t="str">
        <f>U10</f>
        <v/>
      </c>
      <c r="AH4" s="353" t="str">
        <f>U12</f>
        <v/>
      </c>
      <c r="AI4" s="353" t="str">
        <f>U14</f>
        <v/>
      </c>
      <c r="AJ4" s="353" t="str">
        <f>U16</f>
        <v/>
      </c>
      <c r="AK4" s="353" t="str">
        <f>U18</f>
        <v/>
      </c>
      <c r="AL4" s="353" t="str">
        <f>U20</f>
        <v/>
      </c>
      <c r="AM4" s="353" t="str">
        <f>U22</f>
        <v/>
      </c>
      <c r="AN4" s="353" t="str">
        <f>U24</f>
        <v/>
      </c>
      <c r="AO4" s="353" t="str">
        <f>U26</f>
        <v/>
      </c>
    </row>
    <row r="5" spans="1:41" ht="18.899999999999999" customHeight="1">
      <c r="A5" s="54"/>
      <c r="B5" s="374"/>
      <c r="C5" s="444" t="s">
        <v>211</v>
      </c>
      <c r="D5" s="444"/>
      <c r="E5" s="444"/>
      <c r="F5" s="444"/>
      <c r="G5" s="444"/>
      <c r="H5" s="382"/>
      <c r="I5" s="382"/>
      <c r="J5" s="382"/>
      <c r="K5" s="382"/>
      <c r="L5" s="383"/>
      <c r="M5" s="54"/>
      <c r="N5" s="54"/>
      <c r="O5" s="374"/>
      <c r="P5" s="444" t="s">
        <v>212</v>
      </c>
      <c r="Q5" s="444"/>
      <c r="R5" s="444"/>
      <c r="S5" s="444"/>
      <c r="T5" s="444"/>
      <c r="U5" s="444"/>
      <c r="V5" s="444"/>
      <c r="W5" s="375"/>
      <c r="X5" s="54"/>
      <c r="Y5"/>
      <c r="Z5" s="351"/>
      <c r="AA5" s="351"/>
      <c r="AB5" s="351"/>
      <c r="AC5" s="351"/>
      <c r="AD5" s="351"/>
      <c r="AE5" s="351"/>
      <c r="AF5" s="351"/>
      <c r="AG5" s="351"/>
      <c r="AH5" s="351"/>
      <c r="AI5" s="351"/>
      <c r="AJ5" s="351"/>
      <c r="AK5" s="351"/>
      <c r="AL5" s="351"/>
      <c r="AM5" s="351"/>
      <c r="AN5" s="351"/>
      <c r="AO5" s="351"/>
    </row>
    <row r="6" spans="1:41" ht="18.899999999999999" customHeight="1">
      <c r="A6" s="54"/>
      <c r="B6" s="374"/>
      <c r="C6" s="376" t="s">
        <v>196</v>
      </c>
      <c r="L6" s="383"/>
      <c r="M6" s="54"/>
      <c r="N6" s="54"/>
      <c r="O6" s="374"/>
      <c r="P6" s="376" t="s">
        <v>1273</v>
      </c>
      <c r="W6" s="377"/>
      <c r="X6" s="54"/>
      <c r="Y6"/>
      <c r="Z6" s="351" t="s">
        <v>1194</v>
      </c>
      <c r="AA6" s="351"/>
      <c r="AB6" s="351"/>
      <c r="AC6" s="351"/>
      <c r="AD6" s="351"/>
      <c r="AE6" s="351"/>
      <c r="AF6" s="351"/>
      <c r="AG6" s="351" t="s">
        <v>1195</v>
      </c>
      <c r="AH6" s="351"/>
      <c r="AI6" s="351"/>
      <c r="AJ6" s="351"/>
      <c r="AK6" s="351"/>
      <c r="AL6" s="351"/>
      <c r="AM6" s="351"/>
      <c r="AN6" s="351"/>
      <c r="AO6" s="351"/>
    </row>
    <row r="7" spans="1:41" ht="18.899999999999999" customHeight="1" thickBot="1">
      <c r="A7" s="54"/>
      <c r="B7" s="374"/>
      <c r="L7" s="383"/>
      <c r="M7" s="54"/>
      <c r="N7" s="54"/>
      <c r="O7" s="374"/>
      <c r="W7" s="377"/>
      <c r="X7" s="54"/>
      <c r="Y7"/>
      <c r="Z7" s="349" t="s">
        <v>1196</v>
      </c>
      <c r="AA7" s="349" t="s">
        <v>1211</v>
      </c>
      <c r="AB7" s="349" t="s">
        <v>1212</v>
      </c>
      <c r="AC7" s="349" t="s">
        <v>1213</v>
      </c>
      <c r="AD7" s="349" t="s">
        <v>1197</v>
      </c>
      <c r="AE7" s="349" t="s">
        <v>1198</v>
      </c>
      <c r="AF7" s="349" t="s">
        <v>1210</v>
      </c>
      <c r="AG7" s="412" t="s">
        <v>1199</v>
      </c>
      <c r="AH7" s="413" t="s">
        <v>1144</v>
      </c>
      <c r="AI7" s="413" t="s">
        <v>1145</v>
      </c>
      <c r="AJ7" s="413" t="s">
        <v>1146</v>
      </c>
      <c r="AK7" s="412" t="s">
        <v>1134</v>
      </c>
      <c r="AL7" s="412" t="s">
        <v>1135</v>
      </c>
      <c r="AM7" s="413" t="s">
        <v>1136</v>
      </c>
      <c r="AN7" s="414" t="s">
        <v>1215</v>
      </c>
      <c r="AO7" s="419" t="s">
        <v>1216</v>
      </c>
    </row>
    <row r="8" spans="1:41" ht="18.899999999999999" customHeight="1" thickBot="1">
      <c r="A8" s="54"/>
      <c r="B8" s="374"/>
      <c r="C8" s="376" t="s">
        <v>195</v>
      </c>
      <c r="L8" s="383"/>
      <c r="M8" s="54"/>
      <c r="N8" s="54"/>
      <c r="O8" s="374"/>
      <c r="P8" s="449" t="s">
        <v>490</v>
      </c>
      <c r="Q8" s="450"/>
      <c r="R8" s="450"/>
      <c r="S8" s="450"/>
      <c r="T8" s="451"/>
      <c r="U8" s="445" t="s">
        <v>489</v>
      </c>
      <c r="V8" s="446"/>
      <c r="W8" s="377"/>
      <c r="X8" s="54"/>
      <c r="Y8"/>
      <c r="Z8" s="416" t="e">
        <f>CO2固定!U19</f>
        <v>#N/A</v>
      </c>
      <c r="AA8" s="417" t="e">
        <f>大気浄化!E43</f>
        <v>#N/A</v>
      </c>
      <c r="AB8" s="417" t="e">
        <f>大気浄化!E44</f>
        <v>#N/A</v>
      </c>
      <c r="AC8" s="417" t="e">
        <f>大気浄化!E45</f>
        <v>#N/A</v>
      </c>
      <c r="AD8" s="417" t="e">
        <f>大気浄化!E46</f>
        <v>#N/A</v>
      </c>
      <c r="AE8" s="417" t="e">
        <f>貯水量!L6</f>
        <v>#N/A</v>
      </c>
      <c r="AF8" s="417" t="e">
        <f>AF4*(E17+3)</f>
        <v>#VALUE!</v>
      </c>
      <c r="AG8" s="418" t="e">
        <f>CO2固定!V19</f>
        <v>#N/A</v>
      </c>
      <c r="AH8" s="418" t="e">
        <f>大気浄化!E55</f>
        <v>#N/A</v>
      </c>
      <c r="AI8" s="418" t="e">
        <f>大気浄化!E56</f>
        <v>#N/A</v>
      </c>
      <c r="AJ8" s="418" t="e">
        <f>大気浄化!E57</f>
        <v>#N/A</v>
      </c>
      <c r="AK8" s="418" t="e">
        <f>大気浄化!E58</f>
        <v>#N/A</v>
      </c>
      <c r="AL8" s="418" t="e">
        <f>貯水量!L8</f>
        <v>#N/A</v>
      </c>
      <c r="AM8" s="418" t="e">
        <f>AM4*(E17+3)</f>
        <v>#VALUE!</v>
      </c>
      <c r="AN8" s="415" t="e">
        <f>SUM(AG8:AM8)</f>
        <v>#N/A</v>
      </c>
      <c r="AO8" s="415" t="e">
        <f>AN8/E15</f>
        <v>#N/A</v>
      </c>
    </row>
    <row r="9" spans="1:41" ht="18.899999999999999" customHeight="1" thickBot="1">
      <c r="A9" s="54"/>
      <c r="B9" s="374"/>
      <c r="C9" s="455" t="s">
        <v>192</v>
      </c>
      <c r="D9" s="456"/>
      <c r="E9" s="484"/>
      <c r="F9" s="485"/>
      <c r="G9" s="486"/>
      <c r="H9" s="384" t="s">
        <v>1077</v>
      </c>
      <c r="I9" s="385"/>
      <c r="J9" s="385"/>
      <c r="K9" s="385"/>
      <c r="L9" s="386"/>
      <c r="M9" s="55"/>
      <c r="N9" s="55"/>
      <c r="O9" s="374"/>
      <c r="P9" s="452"/>
      <c r="Q9" s="453"/>
      <c r="R9" s="453"/>
      <c r="S9" s="453"/>
      <c r="T9" s="454"/>
      <c r="U9" s="447"/>
      <c r="V9" s="448"/>
      <c r="W9" s="378"/>
      <c r="X9" s="54"/>
      <c r="Y9"/>
      <c r="Z9" s="353"/>
      <c r="AA9" s="351"/>
      <c r="AB9" s="351"/>
      <c r="AC9" s="351"/>
      <c r="AD9" s="351"/>
      <c r="AE9" s="351"/>
      <c r="AF9" s="351"/>
      <c r="AG9" s="351"/>
      <c r="AH9" s="351"/>
      <c r="AI9" s="351"/>
      <c r="AJ9" s="351"/>
      <c r="AK9" s="351"/>
      <c r="AL9" s="351"/>
      <c r="AM9" s="351"/>
      <c r="AN9" s="351"/>
      <c r="AO9" s="351"/>
    </row>
    <row r="10" spans="1:41" ht="18.899999999999999" customHeight="1">
      <c r="A10" s="54"/>
      <c r="B10" s="374"/>
      <c r="C10" s="502" t="s">
        <v>194</v>
      </c>
      <c r="D10" s="503"/>
      <c r="E10" s="487"/>
      <c r="F10" s="488"/>
      <c r="G10" s="489"/>
      <c r="H10" s="387" t="s">
        <v>506</v>
      </c>
      <c r="I10" s="385"/>
      <c r="J10" s="385"/>
      <c r="K10" s="385"/>
      <c r="L10" s="386"/>
      <c r="M10" s="55"/>
      <c r="N10" s="55"/>
      <c r="O10" s="374"/>
      <c r="P10" s="459" t="s">
        <v>1217</v>
      </c>
      <c r="Q10" s="462" t="s">
        <v>1218</v>
      </c>
      <c r="R10" s="462" t="s">
        <v>1221</v>
      </c>
      <c r="S10" s="437" t="str">
        <f>IFERROR(CO2固定!U15,"")</f>
        <v/>
      </c>
      <c r="T10" s="457" t="s">
        <v>187</v>
      </c>
      <c r="U10" s="439" t="str">
        <f>IFERROR(CO2固定!V15,"")</f>
        <v/>
      </c>
      <c r="V10" s="435" t="s">
        <v>188</v>
      </c>
      <c r="W10" s="378"/>
      <c r="X10" s="54"/>
      <c r="Y10"/>
      <c r="Z10" s="353"/>
      <c r="AA10" s="351"/>
      <c r="AB10" s="351"/>
      <c r="AC10" s="351"/>
      <c r="AD10" s="351"/>
      <c r="AE10" s="351"/>
      <c r="AF10" s="351"/>
      <c r="AG10" s="351"/>
      <c r="AH10" s="351"/>
      <c r="AI10" s="351"/>
      <c r="AJ10" s="351"/>
      <c r="AK10" s="351"/>
      <c r="AL10" s="351"/>
      <c r="AM10" s="351"/>
      <c r="AN10" s="351"/>
      <c r="AO10" s="351"/>
    </row>
    <row r="11" spans="1:41" ht="18.899999999999999" customHeight="1" thickBot="1">
      <c r="A11" s="54"/>
      <c r="B11" s="374"/>
      <c r="C11" s="495" t="s">
        <v>501</v>
      </c>
      <c r="D11" s="496"/>
      <c r="E11" s="497"/>
      <c r="F11" s="498"/>
      <c r="G11" s="499"/>
      <c r="H11" s="387" t="s">
        <v>506</v>
      </c>
      <c r="I11" s="385"/>
      <c r="J11" s="385"/>
      <c r="K11" s="385"/>
      <c r="L11" s="386"/>
      <c r="M11" s="55"/>
      <c r="N11" s="55"/>
      <c r="O11" s="374"/>
      <c r="P11" s="460"/>
      <c r="Q11" s="463"/>
      <c r="R11" s="463"/>
      <c r="S11" s="438"/>
      <c r="T11" s="458"/>
      <c r="U11" s="440"/>
      <c r="V11" s="436"/>
      <c r="W11" s="378"/>
      <c r="X11" s="54"/>
      <c r="Y11"/>
      <c r="Z11" s="353"/>
      <c r="AA11" s="351"/>
      <c r="AB11" s="351"/>
      <c r="AC11" s="351"/>
      <c r="AD11" s="351"/>
      <c r="AE11" s="351"/>
      <c r="AF11" s="351"/>
      <c r="AG11" s="351"/>
      <c r="AH11" s="351"/>
      <c r="AI11" s="351"/>
      <c r="AJ11" s="351"/>
      <c r="AK11" s="351"/>
      <c r="AL11" s="351"/>
      <c r="AM11" s="351"/>
      <c r="AN11" s="351"/>
      <c r="AO11" s="351"/>
    </row>
    <row r="12" spans="1:41" ht="18.899999999999999" customHeight="1">
      <c r="A12" s="54"/>
      <c r="B12" s="374"/>
      <c r="C12" s="397"/>
      <c r="D12" s="397"/>
      <c r="E12" s="385"/>
      <c r="F12" s="385"/>
      <c r="G12" s="385"/>
      <c r="H12" s="385"/>
      <c r="I12" s="385"/>
      <c r="J12" s="385"/>
      <c r="K12" s="385"/>
      <c r="L12" s="386"/>
      <c r="M12" s="55"/>
      <c r="N12" s="55"/>
      <c r="O12" s="374"/>
      <c r="P12" s="460"/>
      <c r="Q12" s="464" t="s">
        <v>1219</v>
      </c>
      <c r="R12" s="557" t="s">
        <v>494</v>
      </c>
      <c r="S12" s="469" t="str">
        <f>IFERROR(大気浄化!E14,"")</f>
        <v/>
      </c>
      <c r="T12" s="478" t="s">
        <v>799</v>
      </c>
      <c r="U12" s="549" t="str">
        <f>IFERROR(大気浄化!E26,"")</f>
        <v/>
      </c>
      <c r="V12" s="551" t="s">
        <v>188</v>
      </c>
      <c r="W12" s="378"/>
      <c r="X12" s="54"/>
      <c r="Y12"/>
      <c r="Z12" s="353"/>
      <c r="AA12" s="351"/>
      <c r="AB12" s="351"/>
      <c r="AC12" s="351"/>
      <c r="AD12" s="351"/>
      <c r="AE12" s="351"/>
      <c r="AF12" s="351"/>
      <c r="AG12" s="351"/>
      <c r="AH12" s="351"/>
      <c r="AI12" s="351"/>
      <c r="AJ12" s="351"/>
      <c r="AK12" s="351"/>
      <c r="AL12" s="351"/>
      <c r="AM12" s="351"/>
      <c r="AN12" s="351"/>
      <c r="AO12" s="351"/>
    </row>
    <row r="13" spans="1:41" ht="18.899999999999999" customHeight="1">
      <c r="A13" s="54"/>
      <c r="B13" s="374"/>
      <c r="C13" s="398" t="s">
        <v>214</v>
      </c>
      <c r="D13" s="398"/>
      <c r="E13" s="398"/>
      <c r="F13" s="398"/>
      <c r="G13" s="385"/>
      <c r="H13" s="385"/>
      <c r="I13" s="385"/>
      <c r="J13" s="385"/>
      <c r="K13" s="385"/>
      <c r="L13" s="386"/>
      <c r="M13" s="56"/>
      <c r="N13" s="56"/>
      <c r="O13" s="374"/>
      <c r="P13" s="460"/>
      <c r="Q13" s="464"/>
      <c r="R13" s="535"/>
      <c r="S13" s="470"/>
      <c r="T13" s="479"/>
      <c r="U13" s="550"/>
      <c r="V13" s="552"/>
      <c r="W13" s="378"/>
      <c r="X13" s="54"/>
      <c r="Y13"/>
      <c r="Z13" s="353"/>
      <c r="AA13" s="351"/>
      <c r="AB13" s="351"/>
      <c r="AC13" s="351"/>
      <c r="AD13" s="351"/>
      <c r="AE13" s="351"/>
      <c r="AF13" s="351"/>
      <c r="AG13" s="351"/>
      <c r="AH13" s="351"/>
      <c r="AI13" s="351"/>
      <c r="AJ13" s="351"/>
      <c r="AK13" s="351"/>
      <c r="AL13" s="351"/>
      <c r="AM13" s="351"/>
      <c r="AN13" s="351"/>
      <c r="AO13" s="351"/>
    </row>
    <row r="14" spans="1:41" ht="18.899999999999999" customHeight="1" thickBot="1">
      <c r="A14" s="54"/>
      <c r="B14" s="374"/>
      <c r="C14" s="398" t="s">
        <v>216</v>
      </c>
      <c r="D14" s="398"/>
      <c r="E14" s="398"/>
      <c r="F14" s="398"/>
      <c r="G14" s="385"/>
      <c r="H14" s="385"/>
      <c r="I14" s="385"/>
      <c r="J14" s="385"/>
      <c r="K14" s="385"/>
      <c r="L14" s="386"/>
      <c r="M14" s="56"/>
      <c r="N14" s="56"/>
      <c r="O14" s="374"/>
      <c r="P14" s="460"/>
      <c r="Q14" s="464"/>
      <c r="R14" s="535" t="s">
        <v>495</v>
      </c>
      <c r="S14" s="545" t="str">
        <f>IFERROR(大気浄化!E15,"")</f>
        <v/>
      </c>
      <c r="T14" s="479" t="s">
        <v>800</v>
      </c>
      <c r="U14" s="550" t="str">
        <f>IFERROR(大気浄化!E27,"")</f>
        <v/>
      </c>
      <c r="V14" s="552" t="s">
        <v>188</v>
      </c>
      <c r="W14" s="378"/>
      <c r="X14" s="54"/>
      <c r="Y14"/>
      <c r="Z14" s="422"/>
      <c r="AA14" s="423" t="e">
        <f>AN8</f>
        <v>#N/A</v>
      </c>
      <c r="AB14" s="424" t="e">
        <f>AO8</f>
        <v>#N/A</v>
      </c>
      <c r="AC14" s="351"/>
      <c r="AD14" s="351"/>
      <c r="AE14" s="351"/>
      <c r="AF14" s="351"/>
      <c r="AG14" s="351"/>
      <c r="AH14" s="351"/>
      <c r="AI14" s="351"/>
      <c r="AJ14" s="351"/>
      <c r="AK14" s="351"/>
      <c r="AL14" s="351"/>
      <c r="AM14" s="351"/>
      <c r="AN14" s="351"/>
      <c r="AO14" s="351"/>
    </row>
    <row r="15" spans="1:41" ht="18.899999999999999" customHeight="1">
      <c r="A15" s="54"/>
      <c r="B15" s="374"/>
      <c r="C15" s="480" t="s">
        <v>505</v>
      </c>
      <c r="D15" s="481"/>
      <c r="E15" s="504"/>
      <c r="F15" s="504"/>
      <c r="G15" s="505"/>
      <c r="H15" s="387" t="s">
        <v>1123</v>
      </c>
      <c r="I15" s="388"/>
      <c r="J15" s="388"/>
      <c r="K15" s="388"/>
      <c r="L15" s="389"/>
      <c r="M15" s="56"/>
      <c r="N15" s="56"/>
      <c r="O15" s="374"/>
      <c r="P15" s="460"/>
      <c r="Q15" s="464"/>
      <c r="R15" s="535"/>
      <c r="S15" s="469"/>
      <c r="T15" s="479"/>
      <c r="U15" s="550"/>
      <c r="V15" s="552"/>
      <c r="W15" s="378"/>
      <c r="X15" s="54"/>
      <c r="Y15"/>
      <c r="Z15" s="422"/>
      <c r="AA15" s="420"/>
      <c r="AB15" s="420"/>
      <c r="AC15" s="351"/>
      <c r="AD15" s="351"/>
      <c r="AE15" s="351"/>
      <c r="AF15" s="351"/>
      <c r="AG15" s="351"/>
      <c r="AH15" s="351"/>
      <c r="AI15" s="351"/>
      <c r="AJ15" s="351"/>
      <c r="AK15" s="351"/>
      <c r="AL15" s="351"/>
      <c r="AM15" s="351"/>
      <c r="AN15" s="351"/>
      <c r="AO15" s="351"/>
    </row>
    <row r="16" spans="1:41" ht="18.899999999999999" customHeight="1">
      <c r="A16" s="54"/>
      <c r="B16" s="374"/>
      <c r="C16" s="490" t="s">
        <v>843</v>
      </c>
      <c r="D16" s="491"/>
      <c r="E16" s="492"/>
      <c r="F16" s="493"/>
      <c r="G16" s="494"/>
      <c r="H16" s="387" t="s">
        <v>844</v>
      </c>
      <c r="I16" s="388"/>
      <c r="J16" s="388"/>
      <c r="K16" s="388"/>
      <c r="L16" s="389"/>
      <c r="M16" s="56"/>
      <c r="N16" s="56"/>
      <c r="O16" s="374"/>
      <c r="P16" s="460"/>
      <c r="Q16" s="464"/>
      <c r="R16" s="535" t="s">
        <v>496</v>
      </c>
      <c r="S16" s="545" t="str">
        <f>IFERROR(大気浄化!E16,"")</f>
        <v/>
      </c>
      <c r="T16" s="479" t="s">
        <v>801</v>
      </c>
      <c r="U16" s="550" t="str">
        <f>IFERROR(大気浄化!E28,"")</f>
        <v/>
      </c>
      <c r="V16" s="552" t="s">
        <v>188</v>
      </c>
      <c r="W16" s="378"/>
      <c r="X16" s="54"/>
      <c r="Y16"/>
      <c r="Z16" s="420">
        <v>1</v>
      </c>
      <c r="AA16" s="420">
        <v>3496438.2241759822</v>
      </c>
      <c r="AB16" s="420">
        <v>209.36755833389114</v>
      </c>
      <c r="AC16" s="351"/>
      <c r="AD16" s="351"/>
      <c r="AE16" s="351"/>
      <c r="AF16" s="351"/>
      <c r="AG16" s="351"/>
      <c r="AH16" s="351"/>
      <c r="AI16" s="351"/>
      <c r="AJ16" s="351"/>
      <c r="AK16" s="351"/>
      <c r="AL16" s="351"/>
      <c r="AM16" s="351"/>
      <c r="AN16" s="351"/>
      <c r="AO16" s="351"/>
    </row>
    <row r="17" spans="1:41" ht="18.899999999999999" customHeight="1">
      <c r="A17" s="54"/>
      <c r="B17" s="374"/>
      <c r="C17" s="500" t="s">
        <v>163</v>
      </c>
      <c r="D17" s="501"/>
      <c r="E17" s="506"/>
      <c r="F17" s="506"/>
      <c r="G17" s="507"/>
      <c r="H17" s="387" t="s">
        <v>1266</v>
      </c>
      <c r="I17" s="388"/>
      <c r="J17" s="388"/>
      <c r="K17" s="388"/>
      <c r="L17" s="389"/>
      <c r="M17" s="55"/>
      <c r="N17" s="55"/>
      <c r="O17" s="374"/>
      <c r="P17" s="460"/>
      <c r="Q17" s="464"/>
      <c r="R17" s="536"/>
      <c r="S17" s="546"/>
      <c r="T17" s="547"/>
      <c r="U17" s="555"/>
      <c r="V17" s="556"/>
      <c r="W17" s="378"/>
      <c r="X17" s="54"/>
      <c r="Y17"/>
      <c r="Z17" s="420">
        <v>8</v>
      </c>
      <c r="AA17" s="420">
        <v>16703040.317845143</v>
      </c>
      <c r="AB17" s="420">
        <v>1000.182054960787</v>
      </c>
      <c r="AC17" s="351"/>
      <c r="AD17" s="351"/>
      <c r="AE17" s="351"/>
      <c r="AF17" s="351"/>
      <c r="AG17" s="351"/>
      <c r="AH17" s="351"/>
      <c r="AI17" s="351"/>
      <c r="AJ17" s="351"/>
      <c r="AK17" s="351"/>
      <c r="AL17" s="351"/>
      <c r="AM17" s="351"/>
      <c r="AN17" s="351"/>
      <c r="AO17" s="351"/>
    </row>
    <row r="18" spans="1:41" ht="18.899999999999999" customHeight="1">
      <c r="A18" s="54"/>
      <c r="B18" s="374"/>
      <c r="C18" s="500" t="s">
        <v>193</v>
      </c>
      <c r="D18" s="501"/>
      <c r="E18" s="506"/>
      <c r="F18" s="506"/>
      <c r="G18" s="507"/>
      <c r="H18" s="387" t="s">
        <v>506</v>
      </c>
      <c r="I18" s="385"/>
      <c r="J18" s="385"/>
      <c r="K18" s="385"/>
      <c r="L18" s="386"/>
      <c r="M18" s="55"/>
      <c r="N18" s="55"/>
      <c r="O18" s="374"/>
      <c r="P18" s="460"/>
      <c r="Q18" s="465" t="s">
        <v>1220</v>
      </c>
      <c r="R18" s="467" t="s">
        <v>180</v>
      </c>
      <c r="S18" s="482" t="str">
        <f>IFERROR(大気浄化!E17,"")</f>
        <v/>
      </c>
      <c r="T18" s="458" t="s">
        <v>802</v>
      </c>
      <c r="U18" s="553" t="str">
        <f>IFERROR(大気浄化!E29,"")</f>
        <v/>
      </c>
      <c r="V18" s="436" t="s">
        <v>188</v>
      </c>
      <c r="W18" s="378"/>
      <c r="X18" s="54"/>
      <c r="Y18"/>
      <c r="Z18" s="420">
        <v>10</v>
      </c>
      <c r="AA18" s="420">
        <v>19491671.94162694</v>
      </c>
      <c r="AB18" s="420">
        <v>1167.1659845285592</v>
      </c>
      <c r="AC18" s="351"/>
      <c r="AD18" s="351"/>
      <c r="AE18" s="351"/>
      <c r="AF18" s="351"/>
      <c r="AG18" s="351"/>
      <c r="AH18" s="351"/>
      <c r="AI18" s="351"/>
      <c r="AJ18" s="351"/>
      <c r="AK18" s="351"/>
      <c r="AL18" s="351"/>
      <c r="AM18" s="351"/>
      <c r="AN18" s="351"/>
      <c r="AO18" s="351"/>
    </row>
    <row r="19" spans="1:41" ht="18.899999999999999" customHeight="1" thickBot="1">
      <c r="A19" s="54"/>
      <c r="B19" s="374"/>
      <c r="C19" s="495" t="s">
        <v>1010</v>
      </c>
      <c r="D19" s="496"/>
      <c r="E19" s="508"/>
      <c r="F19" s="508"/>
      <c r="G19" s="509"/>
      <c r="H19" s="387" t="s">
        <v>506</v>
      </c>
      <c r="I19" s="385"/>
      <c r="J19" s="385"/>
      <c r="K19" s="385"/>
      <c r="L19" s="386"/>
      <c r="M19" s="56"/>
      <c r="N19" s="56"/>
      <c r="O19" s="374"/>
      <c r="P19" s="461"/>
      <c r="Q19" s="466"/>
      <c r="R19" s="468"/>
      <c r="S19" s="483"/>
      <c r="T19" s="543"/>
      <c r="U19" s="554"/>
      <c r="V19" s="517"/>
      <c r="W19" s="378"/>
      <c r="X19" s="54"/>
      <c r="Y19"/>
      <c r="Z19" s="420">
        <v>20</v>
      </c>
      <c r="AA19" s="420">
        <v>31839817.16817677</v>
      </c>
      <c r="AB19" s="420">
        <v>1906.5758783339384</v>
      </c>
      <c r="AC19" s="351"/>
      <c r="AD19" s="351"/>
      <c r="AE19" s="351"/>
      <c r="AF19" s="351"/>
      <c r="AG19" s="351"/>
      <c r="AH19" s="351"/>
      <c r="AI19" s="351"/>
      <c r="AJ19" s="351"/>
      <c r="AK19" s="351"/>
      <c r="AL19" s="351"/>
      <c r="AM19" s="351"/>
      <c r="AN19" s="351"/>
      <c r="AO19" s="351"/>
    </row>
    <row r="20" spans="1:41" ht="18.899999999999999" customHeight="1">
      <c r="A20" s="54"/>
      <c r="B20" s="374"/>
      <c r="C20" s="399"/>
      <c r="D20" s="399"/>
      <c r="E20" s="397"/>
      <c r="F20" s="397"/>
      <c r="G20" s="385"/>
      <c r="H20" s="384"/>
      <c r="I20" s="385"/>
      <c r="J20" s="385"/>
      <c r="K20" s="385"/>
      <c r="L20" s="386"/>
      <c r="M20" s="56"/>
      <c r="N20" s="56"/>
      <c r="O20" s="374"/>
      <c r="P20" s="524" t="s">
        <v>88</v>
      </c>
      <c r="Q20" s="525"/>
      <c r="R20" s="544" t="s">
        <v>182</v>
      </c>
      <c r="S20" s="437" t="str">
        <f>IFERROR(貯水量!L2,"")</f>
        <v/>
      </c>
      <c r="T20" s="458" t="s">
        <v>813</v>
      </c>
      <c r="U20" s="553" t="str">
        <f>IFERROR(貯水量!L4,"")</f>
        <v/>
      </c>
      <c r="V20" s="436" t="s">
        <v>188</v>
      </c>
      <c r="W20" s="378"/>
      <c r="X20" s="54"/>
      <c r="Y20"/>
      <c r="Z20" s="420">
        <v>30</v>
      </c>
      <c r="AA20" s="420">
        <v>41184548.142712973</v>
      </c>
      <c r="AB20" s="420">
        <v>2466.1406073480821</v>
      </c>
      <c r="AC20" s="351"/>
      <c r="AD20" s="351"/>
      <c r="AE20" s="351"/>
      <c r="AF20" s="351"/>
      <c r="AG20" s="351"/>
      <c r="AH20" s="351"/>
      <c r="AI20" s="351"/>
      <c r="AJ20" s="351"/>
      <c r="AK20" s="351"/>
      <c r="AL20" s="351"/>
      <c r="AM20" s="351"/>
      <c r="AN20" s="351"/>
      <c r="AO20" s="351"/>
    </row>
    <row r="21" spans="1:41" ht="18.899999999999999" customHeight="1" thickBot="1">
      <c r="A21" s="54"/>
      <c r="B21" s="374"/>
      <c r="C21" s="399"/>
      <c r="D21" s="399"/>
      <c r="E21" s="397"/>
      <c r="F21" s="397"/>
      <c r="G21" s="385"/>
      <c r="H21" s="385"/>
      <c r="I21" s="385"/>
      <c r="J21" s="385"/>
      <c r="K21" s="385"/>
      <c r="L21" s="386"/>
      <c r="M21" s="55"/>
      <c r="N21" s="55"/>
      <c r="O21" s="374"/>
      <c r="P21" s="526"/>
      <c r="Q21" s="527"/>
      <c r="R21" s="468"/>
      <c r="S21" s="483"/>
      <c r="T21" s="543"/>
      <c r="U21" s="554"/>
      <c r="V21" s="517"/>
      <c r="W21" s="378"/>
      <c r="X21" s="54"/>
      <c r="Y21"/>
      <c r="Z21" s="420">
        <v>40</v>
      </c>
      <c r="AA21" s="420">
        <v>51077754.839413941</v>
      </c>
      <c r="AB21" s="420">
        <v>3058.5481939768829</v>
      </c>
      <c r="AC21" s="351"/>
      <c r="AD21" s="351"/>
      <c r="AE21" s="351"/>
      <c r="AF21" s="351"/>
      <c r="AG21" s="351"/>
      <c r="AH21" s="351"/>
      <c r="AI21" s="351"/>
      <c r="AJ21" s="351"/>
      <c r="AK21" s="351"/>
      <c r="AL21" s="351"/>
      <c r="AM21" s="351"/>
      <c r="AN21" s="351"/>
      <c r="AO21" s="351"/>
    </row>
    <row r="22" spans="1:41" ht="18.899999999999999" customHeight="1">
      <c r="A22" s="54"/>
      <c r="B22" s="374"/>
      <c r="C22" s="400" t="s">
        <v>1159</v>
      </c>
      <c r="D22" s="399"/>
      <c r="E22" s="397"/>
      <c r="F22" s="397"/>
      <c r="G22" s="385"/>
      <c r="H22" s="385"/>
      <c r="I22" s="385"/>
      <c r="J22" s="385"/>
      <c r="K22" s="385"/>
      <c r="L22" s="386"/>
      <c r="M22" s="55"/>
      <c r="N22" s="55"/>
      <c r="O22" s="374"/>
      <c r="P22" s="524" t="s">
        <v>1116</v>
      </c>
      <c r="Q22" s="525"/>
      <c r="R22" s="544" t="s">
        <v>742</v>
      </c>
      <c r="S22" s="437" t="str">
        <f>IFERROR('蒸散（ドライミスト）1'!Q9,"")</f>
        <v/>
      </c>
      <c r="T22" s="458" t="s">
        <v>983</v>
      </c>
      <c r="U22" s="439" t="str">
        <f>IFERROR('蒸散（ドライミスト）1'!Q13,"")</f>
        <v/>
      </c>
      <c r="V22" s="436" t="s">
        <v>188</v>
      </c>
      <c r="W22" s="378"/>
      <c r="X22" s="54"/>
      <c r="Y22"/>
      <c r="Z22" s="420">
        <v>50</v>
      </c>
      <c r="AA22" s="420">
        <v>60506650.689008705</v>
      </c>
      <c r="AB22" s="420">
        <v>3623.1527358687849</v>
      </c>
      <c r="AC22" s="351"/>
      <c r="AD22" s="351"/>
      <c r="AE22" s="351"/>
      <c r="AF22" s="351"/>
      <c r="AG22" s="351"/>
      <c r="AH22" s="351"/>
      <c r="AI22" s="351"/>
      <c r="AJ22" s="351"/>
      <c r="AK22" s="351"/>
      <c r="AL22" s="351"/>
      <c r="AM22" s="351"/>
      <c r="AN22" s="351"/>
      <c r="AO22" s="351"/>
    </row>
    <row r="23" spans="1:41" ht="18.899999999999999" customHeight="1" thickBot="1">
      <c r="A23" s="54"/>
      <c r="B23" s="374"/>
      <c r="C23" s="528" t="s">
        <v>649</v>
      </c>
      <c r="D23" s="529"/>
      <c r="E23" s="403">
        <f>IF(E18="針葉樹",IF('生育指数(針葉樹)'!L4&lt;=0,"",'生育指数(針葉樹)'!L4),IF('生育指数(広葉樹)'!F4&lt;=0,"",'生育指数(広葉樹)'!F4))</f>
        <v>1.9889271384950904</v>
      </c>
      <c r="F23" s="534" t="s">
        <v>445</v>
      </c>
      <c r="G23" s="534"/>
      <c r="H23" s="390"/>
      <c r="I23" s="391"/>
      <c r="J23" s="392" t="s">
        <v>440</v>
      </c>
      <c r="K23" s="393" t="s">
        <v>1147</v>
      </c>
      <c r="L23" s="386"/>
      <c r="M23" s="56"/>
      <c r="N23" s="56"/>
      <c r="O23" s="374"/>
      <c r="P23" s="526"/>
      <c r="Q23" s="527"/>
      <c r="R23" s="468"/>
      <c r="S23" s="548"/>
      <c r="T23" s="543"/>
      <c r="U23" s="516"/>
      <c r="V23" s="517"/>
      <c r="W23" s="378"/>
      <c r="X23" s="54"/>
      <c r="Y23"/>
      <c r="Z23" s="420">
        <v>100</v>
      </c>
      <c r="AA23" s="420">
        <v>104399728.50170252</v>
      </c>
      <c r="AB23" s="420">
        <v>6251.4807486049413</v>
      </c>
      <c r="AC23" s="351"/>
      <c r="AD23" s="351"/>
      <c r="AE23" s="351"/>
      <c r="AF23" s="351"/>
      <c r="AG23" s="351"/>
      <c r="AH23" s="351"/>
      <c r="AI23" s="351"/>
      <c r="AJ23" s="351"/>
      <c r="AK23" s="351"/>
      <c r="AL23" s="351"/>
      <c r="AM23" s="351"/>
      <c r="AN23" s="351"/>
      <c r="AO23" s="351"/>
    </row>
    <row r="24" spans="1:41" ht="18.899999999999999" customHeight="1">
      <c r="A24" s="54"/>
      <c r="B24" s="374"/>
      <c r="C24" s="530"/>
      <c r="D24" s="531"/>
      <c r="E24" s="403">
        <f>IF(E18="針葉樹",IF('生育指数(針葉樹)'!L4&lt;=0,"",'生育指数(針葉樹)'!L4),IF('生育指数(広葉樹)'!F4&lt;=0,"",'生育指数(広葉樹)'!F4))</f>
        <v>1.9889271384950904</v>
      </c>
      <c r="F24" s="534" t="s">
        <v>503</v>
      </c>
      <c r="G24" s="534"/>
      <c r="H24" s="394">
        <f>IF(E18="針葉樹",IF('生育指数(針葉樹)'!L6&lt;=0,"",'生育指数(針葉樹)'!L6),IF('生育指数(広葉樹)'!F5&lt;=0,"",'生育指数(広葉樹)'!F5))</f>
        <v>1.1243518416437324</v>
      </c>
      <c r="I24" s="392" t="s">
        <v>504</v>
      </c>
      <c r="J24" s="392" t="s">
        <v>440</v>
      </c>
      <c r="K24" s="393" t="s">
        <v>1148</v>
      </c>
      <c r="L24" s="386"/>
      <c r="M24" s="56"/>
      <c r="N24" s="56"/>
      <c r="O24" s="374"/>
      <c r="P24" s="518" t="s">
        <v>186</v>
      </c>
      <c r="Q24" s="519"/>
      <c r="R24" s="520"/>
      <c r="S24" s="520"/>
      <c r="T24" s="520"/>
      <c r="U24" s="510" t="str">
        <f>IF(SUM(U10:U23)=0,"",SUM(U10:U23))</f>
        <v/>
      </c>
      <c r="V24" s="514" t="s">
        <v>188</v>
      </c>
      <c r="W24" s="378"/>
      <c r="X24" s="54"/>
      <c r="Y24"/>
      <c r="Z24" s="351"/>
      <c r="AA24" s="351"/>
      <c r="AB24" s="351"/>
      <c r="AC24" s="351"/>
      <c r="AD24" s="351"/>
      <c r="AE24" s="351"/>
      <c r="AF24" s="351"/>
      <c r="AG24" s="351"/>
      <c r="AH24" s="351"/>
      <c r="AI24" s="351"/>
      <c r="AJ24" s="351"/>
      <c r="AK24" s="351"/>
      <c r="AL24" s="351"/>
      <c r="AM24" s="351"/>
      <c r="AN24" s="351"/>
      <c r="AO24" s="351"/>
    </row>
    <row r="25" spans="1:41" ht="18.899999999999999" customHeight="1" thickBot="1">
      <c r="A25" s="54"/>
      <c r="B25" s="374"/>
      <c r="C25" s="532"/>
      <c r="D25" s="533"/>
      <c r="E25" s="403">
        <f>IF(E18="針葉樹",IF('生育指数(針葉樹)'!L6&lt;=0,"",'生育指数(針葉樹)'!L6),IF('生育指数(広葉樹)'!F5&lt;=0,"",'生育指数(広葉樹)'!F5))</f>
        <v>1.1243518416437324</v>
      </c>
      <c r="F25" s="534" t="s">
        <v>446</v>
      </c>
      <c r="G25" s="534"/>
      <c r="H25" s="390"/>
      <c r="I25" s="391"/>
      <c r="J25" s="392" t="s">
        <v>440</v>
      </c>
      <c r="K25" s="393" t="s">
        <v>1149</v>
      </c>
      <c r="L25" s="386"/>
      <c r="M25" s="55"/>
      <c r="N25" s="55"/>
      <c r="O25" s="374"/>
      <c r="P25" s="521"/>
      <c r="Q25" s="522"/>
      <c r="R25" s="523"/>
      <c r="S25" s="523"/>
      <c r="T25" s="523"/>
      <c r="U25" s="511"/>
      <c r="V25" s="515"/>
      <c r="W25" s="378"/>
      <c r="X25" s="54"/>
      <c r="Y25"/>
      <c r="Z25" s="351"/>
      <c r="AA25" s="351"/>
      <c r="AB25" s="351"/>
      <c r="AC25" s="351"/>
      <c r="AD25" s="351"/>
      <c r="AE25" s="351"/>
      <c r="AF25" s="351"/>
      <c r="AG25" s="351"/>
      <c r="AH25" s="351"/>
      <c r="AI25" s="351"/>
      <c r="AJ25" s="351"/>
      <c r="AK25" s="351"/>
      <c r="AL25" s="351"/>
      <c r="AM25" s="351"/>
      <c r="AN25" s="351"/>
      <c r="AO25" s="351"/>
    </row>
    <row r="26" spans="1:41" ht="18.899999999999999" customHeight="1">
      <c r="A26" s="54"/>
      <c r="B26" s="374"/>
      <c r="C26" s="401" t="s">
        <v>1223</v>
      </c>
      <c r="D26" s="399"/>
      <c r="E26" s="397"/>
      <c r="F26" s="397"/>
      <c r="G26" s="385"/>
      <c r="H26" s="385"/>
      <c r="I26" s="385"/>
      <c r="J26" s="385"/>
      <c r="K26" s="385"/>
      <c r="L26" s="386"/>
      <c r="M26" s="55"/>
      <c r="N26" s="55"/>
      <c r="O26" s="374"/>
      <c r="P26" s="537" t="s">
        <v>491</v>
      </c>
      <c r="Q26" s="538"/>
      <c r="R26" s="539"/>
      <c r="S26" s="539"/>
      <c r="T26" s="539"/>
      <c r="U26" s="510" t="str">
        <f>IFERROR(U24/E15,"")</f>
        <v/>
      </c>
      <c r="V26" s="512" t="s">
        <v>492</v>
      </c>
      <c r="W26" s="378"/>
      <c r="X26" s="54"/>
      <c r="Y26"/>
      <c r="Z26" s="421">
        <v>2063.7750000000001</v>
      </c>
      <c r="AA26" s="351"/>
      <c r="AB26" s="351"/>
      <c r="AC26" s="351"/>
      <c r="AD26" s="351"/>
      <c r="AE26" s="351"/>
      <c r="AF26" s="351"/>
      <c r="AG26" s="351"/>
      <c r="AH26" s="351"/>
      <c r="AI26" s="351"/>
      <c r="AJ26" s="351"/>
      <c r="AK26" s="351"/>
      <c r="AL26" s="351"/>
      <c r="AM26" s="351"/>
      <c r="AN26" s="351"/>
      <c r="AO26" s="351"/>
    </row>
    <row r="27" spans="1:41" ht="18.899999999999999" customHeight="1" thickBot="1">
      <c r="A27" s="54"/>
      <c r="B27" s="380"/>
      <c r="C27" s="402"/>
      <c r="D27" s="402"/>
      <c r="E27" s="404"/>
      <c r="F27" s="404"/>
      <c r="G27" s="395"/>
      <c r="H27" s="395"/>
      <c r="I27" s="395"/>
      <c r="J27" s="395"/>
      <c r="K27" s="395"/>
      <c r="L27" s="396"/>
      <c r="M27" s="55"/>
      <c r="N27" s="55"/>
      <c r="O27" s="374"/>
      <c r="P27" s="540"/>
      <c r="Q27" s="541"/>
      <c r="R27" s="542"/>
      <c r="S27" s="542"/>
      <c r="T27" s="542"/>
      <c r="U27" s="511"/>
      <c r="V27" s="513"/>
      <c r="W27" s="378"/>
      <c r="X27" s="54"/>
      <c r="Y27"/>
      <c r="Z27" s="351"/>
      <c r="AA27" s="351"/>
      <c r="AB27" s="351"/>
      <c r="AC27" s="351"/>
      <c r="AD27" s="351"/>
      <c r="AE27" s="351"/>
      <c r="AF27" s="351"/>
      <c r="AG27" s="351"/>
      <c r="AH27" s="351"/>
      <c r="AI27" s="351"/>
      <c r="AJ27" s="351"/>
      <c r="AK27" s="351"/>
      <c r="AL27" s="351"/>
      <c r="AM27" s="351"/>
      <c r="AN27" s="351"/>
      <c r="AO27" s="351"/>
    </row>
    <row r="28" spans="1:41" ht="18.899999999999999" customHeight="1" thickTop="1" thickBot="1">
      <c r="A28" s="54"/>
      <c r="B28" s="54"/>
      <c r="C28" s="54"/>
      <c r="D28" s="54"/>
      <c r="E28" s="54"/>
      <c r="F28" s="54"/>
      <c r="G28" s="54"/>
      <c r="H28" s="54"/>
      <c r="I28" s="54"/>
      <c r="J28" s="54"/>
      <c r="K28" s="54"/>
      <c r="L28" s="54"/>
      <c r="M28" s="55"/>
      <c r="N28" s="55"/>
      <c r="O28" s="380"/>
      <c r="P28" s="381"/>
      <c r="Q28" s="381"/>
      <c r="R28" s="381"/>
      <c r="S28" s="381"/>
      <c r="T28" s="381"/>
      <c r="U28" s="381"/>
      <c r="V28" s="381"/>
      <c r="W28" s="379"/>
      <c r="X28" s="54"/>
      <c r="Y28" s="77"/>
      <c r="Z28" s="351"/>
      <c r="AA28" s="351"/>
      <c r="AB28" s="351"/>
      <c r="AC28" s="351"/>
      <c r="AD28" s="351"/>
      <c r="AE28" s="351"/>
      <c r="AF28" s="351"/>
      <c r="AG28" s="351"/>
      <c r="AH28" s="351"/>
      <c r="AI28" s="351"/>
      <c r="AJ28" s="351"/>
      <c r="AK28" s="351"/>
      <c r="AL28" s="351"/>
      <c r="AM28" s="351"/>
      <c r="AN28" s="351"/>
      <c r="AO28" s="351"/>
    </row>
    <row r="29" spans="1:41" ht="18.899999999999999" customHeight="1" thickTop="1">
      <c r="A29" s="54"/>
      <c r="B29" s="131" t="s">
        <v>1267</v>
      </c>
      <c r="C29" s="54"/>
      <c r="D29" s="54"/>
      <c r="E29" s="54"/>
      <c r="F29" s="54"/>
      <c r="G29" s="54"/>
      <c r="H29" s="54"/>
      <c r="I29" s="54"/>
      <c r="J29" s="54"/>
      <c r="K29" s="54"/>
      <c r="L29" s="54"/>
      <c r="M29" s="56"/>
      <c r="N29" s="56"/>
      <c r="O29" s="54"/>
      <c r="P29" s="54"/>
      <c r="Q29" s="54"/>
      <c r="R29" s="54"/>
      <c r="S29" s="54"/>
      <c r="T29" s="54"/>
      <c r="U29" s="54"/>
      <c r="V29" s="54"/>
      <c r="W29" s="54"/>
      <c r="X29" s="54"/>
      <c r="Y29"/>
      <c r="Z29" s="351"/>
      <c r="AA29" s="351"/>
      <c r="AB29" s="351"/>
      <c r="AC29" s="351"/>
      <c r="AD29" s="351"/>
      <c r="AE29" s="351"/>
      <c r="AF29" s="351"/>
      <c r="AG29" s="351"/>
      <c r="AH29" s="351"/>
      <c r="AI29" s="351"/>
      <c r="AJ29" s="351"/>
      <c r="AK29" s="351"/>
      <c r="AL29" s="351"/>
      <c r="AM29" s="351"/>
      <c r="AN29" s="351"/>
      <c r="AO29" s="351"/>
    </row>
    <row r="30" spans="1:41" ht="18.899999999999999" customHeight="1">
      <c r="A30" s="54"/>
      <c r="B30" s="75"/>
      <c r="C30" s="75"/>
      <c r="D30" s="75"/>
      <c r="E30" s="75"/>
      <c r="F30" s="75"/>
      <c r="G30" s="75"/>
      <c r="H30" s="86"/>
      <c r="I30" s="86"/>
      <c r="J30" s="86"/>
      <c r="K30" s="86"/>
      <c r="L30" s="54"/>
      <c r="M30" s="56"/>
      <c r="N30" s="56"/>
      <c r="O30" s="54"/>
      <c r="P30" s="54"/>
      <c r="Q30" s="54"/>
      <c r="R30" s="54"/>
      <c r="S30" s="54"/>
      <c r="T30" s="54"/>
      <c r="U30" s="54"/>
      <c r="V30" s="54"/>
      <c r="W30" s="54"/>
      <c r="X30" s="54"/>
      <c r="Y30"/>
      <c r="Z30" s="351">
        <v>554963.94992834528</v>
      </c>
      <c r="AA30" s="351"/>
      <c r="AB30" s="351"/>
      <c r="AC30" s="351"/>
      <c r="AD30" s="351"/>
      <c r="AE30" s="351"/>
      <c r="AF30" s="351"/>
      <c r="AG30" s="351"/>
      <c r="AH30" s="351"/>
      <c r="AI30" s="351"/>
      <c r="AJ30" s="351"/>
      <c r="AK30" s="351"/>
      <c r="AL30" s="351"/>
      <c r="AM30" s="351"/>
      <c r="AN30" s="351"/>
      <c r="AO30" s="351"/>
    </row>
    <row r="31" spans="1:41" ht="18.899999999999999" customHeight="1">
      <c r="M31" s="388"/>
      <c r="N31" s="388"/>
    </row>
    <row r="32" spans="1:41" ht="18.899999999999999" hidden="1" customHeight="1">
      <c r="B32" s="832"/>
      <c r="C32" s="832"/>
      <c r="D32" s="832"/>
      <c r="E32" s="832"/>
      <c r="F32" s="832"/>
      <c r="G32" s="832"/>
      <c r="H32" s="832"/>
      <c r="I32" s="832"/>
      <c r="J32" s="832"/>
      <c r="K32" s="832"/>
      <c r="L32" s="832"/>
      <c r="M32" s="388"/>
      <c r="N32" s="388"/>
      <c r="U32" s="833" t="e">
        <f>AN8</f>
        <v>#N/A</v>
      </c>
    </row>
    <row r="33" spans="3:14" hidden="1">
      <c r="C33" s="407" t="s">
        <v>156</v>
      </c>
      <c r="D33" s="376" t="s">
        <v>501</v>
      </c>
      <c r="E33" s="407" t="s">
        <v>157</v>
      </c>
      <c r="F33" s="407" t="s">
        <v>219</v>
      </c>
      <c r="G33" s="407" t="s">
        <v>843</v>
      </c>
      <c r="H33" s="834"/>
      <c r="I33" s="834"/>
      <c r="J33" s="834"/>
      <c r="K33" s="834"/>
      <c r="L33" s="834"/>
      <c r="M33" s="385"/>
      <c r="N33" s="385"/>
    </row>
    <row r="34" spans="3:14" ht="14.25" hidden="1" customHeight="1">
      <c r="C34" s="376" t="s">
        <v>90</v>
      </c>
      <c r="D34" s="835" t="s">
        <v>253</v>
      </c>
      <c r="E34" s="376" t="s">
        <v>158</v>
      </c>
      <c r="F34" s="834" t="s">
        <v>1147</v>
      </c>
      <c r="G34" s="376" t="s">
        <v>825</v>
      </c>
      <c r="L34" s="388"/>
      <c r="M34" s="388"/>
    </row>
    <row r="35" spans="3:14" hidden="1">
      <c r="C35" s="376" t="s">
        <v>109</v>
      </c>
      <c r="D35" s="836" t="s">
        <v>536</v>
      </c>
      <c r="E35" s="376" t="s">
        <v>159</v>
      </c>
      <c r="F35" s="834" t="s">
        <v>1150</v>
      </c>
      <c r="G35" s="376" t="s">
        <v>826</v>
      </c>
      <c r="L35" s="388"/>
      <c r="M35" s="388"/>
    </row>
    <row r="36" spans="3:14" hidden="1">
      <c r="C36" s="376" t="s">
        <v>110</v>
      </c>
      <c r="D36" s="835" t="s">
        <v>256</v>
      </c>
      <c r="E36" s="376" t="s">
        <v>160</v>
      </c>
      <c r="F36" s="834" t="s">
        <v>1149</v>
      </c>
      <c r="G36" s="376" t="s">
        <v>827</v>
      </c>
      <c r="L36" s="385"/>
      <c r="M36" s="385"/>
    </row>
    <row r="37" spans="3:14" hidden="1">
      <c r="C37" s="376" t="s">
        <v>111</v>
      </c>
      <c r="D37" s="835" t="s">
        <v>257</v>
      </c>
      <c r="G37" s="376" t="s">
        <v>828</v>
      </c>
    </row>
    <row r="38" spans="3:14" hidden="1">
      <c r="C38" s="376" t="s">
        <v>112</v>
      </c>
      <c r="D38" s="835" t="s">
        <v>258</v>
      </c>
      <c r="G38" s="376" t="s">
        <v>829</v>
      </c>
    </row>
    <row r="39" spans="3:14" hidden="1">
      <c r="C39" s="376" t="s">
        <v>113</v>
      </c>
      <c r="D39" s="835" t="s">
        <v>259</v>
      </c>
      <c r="G39" s="376" t="s">
        <v>830</v>
      </c>
    </row>
    <row r="40" spans="3:14" hidden="1">
      <c r="C40" s="376" t="s">
        <v>114</v>
      </c>
      <c r="D40" s="835" t="s">
        <v>260</v>
      </c>
      <c r="G40" s="376" t="s">
        <v>831</v>
      </c>
    </row>
    <row r="41" spans="3:14" hidden="1">
      <c r="C41" s="376" t="s">
        <v>115</v>
      </c>
      <c r="D41" s="835" t="s">
        <v>261</v>
      </c>
      <c r="G41" s="376" t="s">
        <v>832</v>
      </c>
    </row>
    <row r="42" spans="3:14" hidden="1">
      <c r="C42" s="376" t="s">
        <v>116</v>
      </c>
      <c r="D42" s="835" t="s">
        <v>262</v>
      </c>
      <c r="G42" s="376" t="s">
        <v>833</v>
      </c>
    </row>
    <row r="43" spans="3:14" hidden="1">
      <c r="C43" s="376" t="s">
        <v>117</v>
      </c>
      <c r="D43" s="835" t="s">
        <v>263</v>
      </c>
      <c r="G43" s="376" t="s">
        <v>834</v>
      </c>
    </row>
    <row r="44" spans="3:14" hidden="1">
      <c r="C44" s="376" t="s">
        <v>118</v>
      </c>
      <c r="D44" s="835" t="s">
        <v>264</v>
      </c>
    </row>
    <row r="45" spans="3:14" hidden="1">
      <c r="C45" s="376" t="s">
        <v>119</v>
      </c>
      <c r="D45" s="835" t="s">
        <v>265</v>
      </c>
    </row>
    <row r="46" spans="3:14" hidden="1">
      <c r="C46" s="376" t="s">
        <v>120</v>
      </c>
      <c r="D46" s="835" t="s">
        <v>266</v>
      </c>
    </row>
    <row r="47" spans="3:14" hidden="1">
      <c r="C47" s="376" t="s">
        <v>121</v>
      </c>
      <c r="D47" s="835" t="s">
        <v>267</v>
      </c>
    </row>
    <row r="48" spans="3:14" hidden="1">
      <c r="C48" s="376" t="s">
        <v>122</v>
      </c>
      <c r="D48" s="835" t="s">
        <v>268</v>
      </c>
    </row>
    <row r="49" spans="3:4" hidden="1">
      <c r="C49" s="376" t="s">
        <v>123</v>
      </c>
      <c r="D49" s="835" t="s">
        <v>269</v>
      </c>
    </row>
    <row r="50" spans="3:4" hidden="1">
      <c r="C50" s="376" t="s">
        <v>124</v>
      </c>
      <c r="D50" s="835" t="s">
        <v>270</v>
      </c>
    </row>
    <row r="51" spans="3:4" hidden="1">
      <c r="C51" s="376" t="s">
        <v>125</v>
      </c>
      <c r="D51" s="835" t="s">
        <v>271</v>
      </c>
    </row>
    <row r="52" spans="3:4" hidden="1">
      <c r="C52" s="376" t="s">
        <v>126</v>
      </c>
      <c r="D52" s="835" t="s">
        <v>272</v>
      </c>
    </row>
    <row r="53" spans="3:4" hidden="1">
      <c r="C53" s="376" t="s">
        <v>127</v>
      </c>
      <c r="D53" s="835" t="s">
        <v>273</v>
      </c>
    </row>
    <row r="54" spans="3:4" hidden="1">
      <c r="C54" s="376" t="s">
        <v>128</v>
      </c>
      <c r="D54" s="835" t="s">
        <v>274</v>
      </c>
    </row>
    <row r="55" spans="3:4" hidden="1">
      <c r="C55" s="376" t="s">
        <v>129</v>
      </c>
      <c r="D55" s="835" t="s">
        <v>275</v>
      </c>
    </row>
    <row r="56" spans="3:4" hidden="1">
      <c r="C56" s="376" t="s">
        <v>130</v>
      </c>
      <c r="D56" s="835" t="s">
        <v>276</v>
      </c>
    </row>
    <row r="57" spans="3:4" hidden="1">
      <c r="C57" s="376" t="s">
        <v>131</v>
      </c>
      <c r="D57" s="835" t="s">
        <v>277</v>
      </c>
    </row>
    <row r="58" spans="3:4" hidden="1">
      <c r="C58" s="376" t="s">
        <v>132</v>
      </c>
      <c r="D58" s="835" t="s">
        <v>278</v>
      </c>
    </row>
    <row r="59" spans="3:4" hidden="1">
      <c r="C59" s="376" t="s">
        <v>133</v>
      </c>
      <c r="D59" s="835" t="s">
        <v>638</v>
      </c>
    </row>
    <row r="60" spans="3:4" hidden="1">
      <c r="C60" s="376" t="s">
        <v>134</v>
      </c>
      <c r="D60" s="835" t="s">
        <v>280</v>
      </c>
    </row>
    <row r="61" spans="3:4" hidden="1">
      <c r="C61" s="376" t="s">
        <v>135</v>
      </c>
      <c r="D61" s="835" t="s">
        <v>281</v>
      </c>
    </row>
    <row r="62" spans="3:4" hidden="1">
      <c r="C62" s="376" t="s">
        <v>136</v>
      </c>
      <c r="D62" s="835" t="s">
        <v>283</v>
      </c>
    </row>
    <row r="63" spans="3:4" hidden="1">
      <c r="C63" s="376" t="s">
        <v>137</v>
      </c>
      <c r="D63" s="835" t="s">
        <v>284</v>
      </c>
    </row>
    <row r="64" spans="3:4" hidden="1">
      <c r="C64" s="376" t="s">
        <v>138</v>
      </c>
      <c r="D64" s="835" t="s">
        <v>286</v>
      </c>
    </row>
    <row r="65" spans="3:4" hidden="1">
      <c r="C65" s="376" t="s">
        <v>139</v>
      </c>
      <c r="D65" s="835" t="s">
        <v>287</v>
      </c>
    </row>
    <row r="66" spans="3:4" hidden="1">
      <c r="C66" s="376" t="s">
        <v>140</v>
      </c>
      <c r="D66" s="835" t="s">
        <v>289</v>
      </c>
    </row>
    <row r="67" spans="3:4" hidden="1">
      <c r="C67" s="376" t="s">
        <v>141</v>
      </c>
      <c r="D67" s="835" t="s">
        <v>291</v>
      </c>
    </row>
    <row r="68" spans="3:4" hidden="1">
      <c r="C68" s="376" t="s">
        <v>142</v>
      </c>
      <c r="D68" s="835" t="s">
        <v>290</v>
      </c>
    </row>
    <row r="69" spans="3:4" hidden="1">
      <c r="C69" s="376" t="s">
        <v>143</v>
      </c>
      <c r="D69" s="835" t="s">
        <v>292</v>
      </c>
    </row>
    <row r="70" spans="3:4" hidden="1">
      <c r="C70" s="376" t="s">
        <v>144</v>
      </c>
      <c r="D70" s="835" t="s">
        <v>293</v>
      </c>
    </row>
    <row r="71" spans="3:4" hidden="1">
      <c r="C71" s="376" t="s">
        <v>145</v>
      </c>
      <c r="D71" s="835" t="s">
        <v>294</v>
      </c>
    </row>
    <row r="72" spans="3:4" hidden="1">
      <c r="C72" s="376" t="s">
        <v>146</v>
      </c>
      <c r="D72" s="835" t="s">
        <v>295</v>
      </c>
    </row>
    <row r="73" spans="3:4" hidden="1">
      <c r="C73" s="376" t="s">
        <v>147</v>
      </c>
      <c r="D73" s="836" t="s">
        <v>556</v>
      </c>
    </row>
    <row r="74" spans="3:4" hidden="1">
      <c r="C74" s="376" t="s">
        <v>148</v>
      </c>
      <c r="D74" s="835" t="s">
        <v>298</v>
      </c>
    </row>
    <row r="75" spans="3:4" hidden="1">
      <c r="C75" s="376" t="s">
        <v>149</v>
      </c>
      <c r="D75" s="835" t="s">
        <v>498</v>
      </c>
    </row>
    <row r="76" spans="3:4" hidden="1">
      <c r="C76" s="376" t="s">
        <v>150</v>
      </c>
      <c r="D76" s="836" t="s">
        <v>554</v>
      </c>
    </row>
    <row r="77" spans="3:4" hidden="1">
      <c r="C77" s="376" t="s">
        <v>151</v>
      </c>
      <c r="D77" s="835" t="s">
        <v>302</v>
      </c>
    </row>
    <row r="78" spans="3:4" hidden="1">
      <c r="C78" s="376" t="s">
        <v>152</v>
      </c>
      <c r="D78" s="835" t="s">
        <v>499</v>
      </c>
    </row>
    <row r="79" spans="3:4" hidden="1">
      <c r="C79" s="376" t="s">
        <v>153</v>
      </c>
      <c r="D79" s="835" t="s">
        <v>500</v>
      </c>
    </row>
    <row r="80" spans="3:4" hidden="1">
      <c r="C80" s="376" t="s">
        <v>154</v>
      </c>
      <c r="D80" s="835" t="s">
        <v>307</v>
      </c>
    </row>
    <row r="81" spans="4:4" hidden="1">
      <c r="D81" s="835" t="s">
        <v>308</v>
      </c>
    </row>
    <row r="82" spans="4:4" hidden="1">
      <c r="D82" s="835" t="s">
        <v>310</v>
      </c>
    </row>
    <row r="83" spans="4:4" hidden="1">
      <c r="D83" s="835" t="s">
        <v>311</v>
      </c>
    </row>
    <row r="84" spans="4:4" hidden="1">
      <c r="D84" s="835" t="s">
        <v>312</v>
      </c>
    </row>
    <row r="85" spans="4:4" hidden="1">
      <c r="D85" s="835" t="s">
        <v>314</v>
      </c>
    </row>
    <row r="86" spans="4:4" hidden="1">
      <c r="D86" s="835" t="s">
        <v>315</v>
      </c>
    </row>
    <row r="87" spans="4:4" hidden="1">
      <c r="D87" s="835" t="s">
        <v>316</v>
      </c>
    </row>
    <row r="88" spans="4:4" hidden="1">
      <c r="D88" s="835" t="s">
        <v>318</v>
      </c>
    </row>
    <row r="89" spans="4:4" hidden="1">
      <c r="D89" s="835" t="s">
        <v>320</v>
      </c>
    </row>
    <row r="90" spans="4:4" hidden="1">
      <c r="D90" s="835" t="s">
        <v>321</v>
      </c>
    </row>
    <row r="91" spans="4:4" hidden="1">
      <c r="D91" s="835" t="s">
        <v>322</v>
      </c>
    </row>
    <row r="92" spans="4:4" hidden="1">
      <c r="D92" s="835" t="s">
        <v>323</v>
      </c>
    </row>
    <row r="93" spans="4:4" hidden="1">
      <c r="D93" s="835" t="s">
        <v>324</v>
      </c>
    </row>
    <row r="94" spans="4:4" hidden="1">
      <c r="D94" s="835" t="s">
        <v>326</v>
      </c>
    </row>
    <row r="95" spans="4:4" hidden="1">
      <c r="D95" s="835" t="s">
        <v>327</v>
      </c>
    </row>
    <row r="96" spans="4:4" hidden="1">
      <c r="D96" s="835" t="s">
        <v>329</v>
      </c>
    </row>
    <row r="97" spans="4:4" hidden="1">
      <c r="D97" s="835" t="s">
        <v>330</v>
      </c>
    </row>
    <row r="98" spans="4:4" hidden="1">
      <c r="D98" s="836" t="s">
        <v>580</v>
      </c>
    </row>
    <row r="99" spans="4:4" hidden="1">
      <c r="D99" s="835" t="s">
        <v>333</v>
      </c>
    </row>
    <row r="100" spans="4:4" hidden="1">
      <c r="D100" s="835" t="s">
        <v>334</v>
      </c>
    </row>
    <row r="101" spans="4:4" hidden="1">
      <c r="D101" s="835" t="s">
        <v>335</v>
      </c>
    </row>
    <row r="102" spans="4:4" hidden="1">
      <c r="D102" s="835" t="s">
        <v>336</v>
      </c>
    </row>
    <row r="103" spans="4:4" hidden="1">
      <c r="D103" s="835" t="s">
        <v>337</v>
      </c>
    </row>
    <row r="104" spans="4:4" hidden="1">
      <c r="D104" s="835" t="s">
        <v>338</v>
      </c>
    </row>
    <row r="105" spans="4:4" hidden="1">
      <c r="D105" s="835" t="s">
        <v>339</v>
      </c>
    </row>
    <row r="106" spans="4:4" hidden="1">
      <c r="D106" s="835" t="s">
        <v>340</v>
      </c>
    </row>
    <row r="107" spans="4:4" hidden="1">
      <c r="D107" s="835" t="s">
        <v>342</v>
      </c>
    </row>
    <row r="108" spans="4:4" hidden="1">
      <c r="D108" s="835" t="s">
        <v>341</v>
      </c>
    </row>
    <row r="109" spans="4:4" hidden="1">
      <c r="D109" s="835" t="s">
        <v>343</v>
      </c>
    </row>
    <row r="110" spans="4:4" hidden="1">
      <c r="D110" s="836" t="s">
        <v>589</v>
      </c>
    </row>
    <row r="111" spans="4:4" hidden="1">
      <c r="D111" s="835" t="s">
        <v>345</v>
      </c>
    </row>
    <row r="112" spans="4:4" hidden="1">
      <c r="D112" s="835" t="s">
        <v>346</v>
      </c>
    </row>
    <row r="113" spans="4:4" hidden="1">
      <c r="D113" s="835" t="s">
        <v>348</v>
      </c>
    </row>
    <row r="114" spans="4:4" hidden="1">
      <c r="D114" s="835" t="s">
        <v>350</v>
      </c>
    </row>
    <row r="115" spans="4:4" hidden="1">
      <c r="D115" s="835" t="s">
        <v>352</v>
      </c>
    </row>
    <row r="116" spans="4:4" hidden="1">
      <c r="D116" s="835" t="s">
        <v>353</v>
      </c>
    </row>
    <row r="117" spans="4:4" hidden="1">
      <c r="D117" s="835" t="s">
        <v>354</v>
      </c>
    </row>
    <row r="118" spans="4:4" hidden="1">
      <c r="D118" s="835" t="s">
        <v>357</v>
      </c>
    </row>
    <row r="119" spans="4:4" hidden="1">
      <c r="D119" s="835" t="s">
        <v>358</v>
      </c>
    </row>
    <row r="120" spans="4:4" hidden="1">
      <c r="D120" s="835" t="s">
        <v>359</v>
      </c>
    </row>
    <row r="121" spans="4:4" hidden="1">
      <c r="D121" s="835" t="s">
        <v>497</v>
      </c>
    </row>
    <row r="122" spans="4:4" hidden="1">
      <c r="D122" s="835" t="s">
        <v>361</v>
      </c>
    </row>
    <row r="123" spans="4:4" hidden="1">
      <c r="D123" s="835" t="s">
        <v>363</v>
      </c>
    </row>
    <row r="124" spans="4:4" hidden="1">
      <c r="D124" s="835" t="s">
        <v>365</v>
      </c>
    </row>
    <row r="125" spans="4:4" hidden="1">
      <c r="D125" s="835" t="s">
        <v>367</v>
      </c>
    </row>
    <row r="126" spans="4:4" hidden="1">
      <c r="D126" s="837" t="s">
        <v>369</v>
      </c>
    </row>
    <row r="127" spans="4:4" hidden="1">
      <c r="D127" s="837" t="s">
        <v>370</v>
      </c>
    </row>
    <row r="128" spans="4:4" hidden="1">
      <c r="D128" s="837" t="s">
        <v>371</v>
      </c>
    </row>
    <row r="129" spans="4:4" hidden="1">
      <c r="D129" s="835" t="s">
        <v>372</v>
      </c>
    </row>
    <row r="130" spans="4:4" hidden="1">
      <c r="D130" s="837" t="s">
        <v>373</v>
      </c>
    </row>
    <row r="131" spans="4:4" hidden="1">
      <c r="D131" s="837" t="s">
        <v>374</v>
      </c>
    </row>
    <row r="132" spans="4:4" hidden="1">
      <c r="D132" s="835" t="s">
        <v>376</v>
      </c>
    </row>
    <row r="133" spans="4:4" hidden="1">
      <c r="D133" s="835" t="s">
        <v>377</v>
      </c>
    </row>
    <row r="134" spans="4:4" hidden="1">
      <c r="D134" s="835" t="s">
        <v>378</v>
      </c>
    </row>
    <row r="135" spans="4:4" hidden="1">
      <c r="D135" s="837" t="s">
        <v>379</v>
      </c>
    </row>
    <row r="136" spans="4:4" hidden="1">
      <c r="D136" s="835" t="s">
        <v>381</v>
      </c>
    </row>
    <row r="137" spans="4:4" hidden="1">
      <c r="D137" s="835" t="s">
        <v>382</v>
      </c>
    </row>
    <row r="138" spans="4:4" hidden="1">
      <c r="D138" s="837" t="s">
        <v>383</v>
      </c>
    </row>
    <row r="139" spans="4:4" hidden="1">
      <c r="D139" s="836" t="s">
        <v>606</v>
      </c>
    </row>
    <row r="140" spans="4:4" hidden="1">
      <c r="D140" s="835" t="s">
        <v>385</v>
      </c>
    </row>
    <row r="141" spans="4:4" hidden="1">
      <c r="D141" s="835" t="s">
        <v>387</v>
      </c>
    </row>
    <row r="142" spans="4:4" hidden="1">
      <c r="D142" s="835" t="s">
        <v>388</v>
      </c>
    </row>
    <row r="143" spans="4:4" hidden="1">
      <c r="D143" s="835" t="s">
        <v>389</v>
      </c>
    </row>
    <row r="144" spans="4:4" hidden="1">
      <c r="D144" s="835" t="s">
        <v>391</v>
      </c>
    </row>
    <row r="145" spans="4:4" hidden="1">
      <c r="D145" s="835" t="s">
        <v>393</v>
      </c>
    </row>
    <row r="146" spans="4:4" hidden="1">
      <c r="D146" s="835" t="s">
        <v>394</v>
      </c>
    </row>
    <row r="147" spans="4:4" hidden="1">
      <c r="D147" s="835" t="s">
        <v>396</v>
      </c>
    </row>
    <row r="148" spans="4:4" hidden="1">
      <c r="D148" s="835" t="s">
        <v>397</v>
      </c>
    </row>
    <row r="149" spans="4:4" hidden="1">
      <c r="D149" s="835" t="s">
        <v>399</v>
      </c>
    </row>
    <row r="150" spans="4:4" hidden="1">
      <c r="D150" s="836" t="s">
        <v>609</v>
      </c>
    </row>
    <row r="151" spans="4:4" hidden="1">
      <c r="D151" s="835" t="s">
        <v>401</v>
      </c>
    </row>
    <row r="152" spans="4:4" hidden="1">
      <c r="D152" s="835" t="s">
        <v>402</v>
      </c>
    </row>
    <row r="153" spans="4:4" hidden="1">
      <c r="D153" s="835" t="s">
        <v>403</v>
      </c>
    </row>
    <row r="154" spans="4:4" hidden="1">
      <c r="D154" s="835" t="s">
        <v>404</v>
      </c>
    </row>
    <row r="155" spans="4:4" hidden="1">
      <c r="D155" s="835" t="s">
        <v>405</v>
      </c>
    </row>
    <row r="156" spans="4:4" hidden="1">
      <c r="D156" s="835" t="s">
        <v>407</v>
      </c>
    </row>
    <row r="157" spans="4:4" hidden="1">
      <c r="D157" s="835" t="s">
        <v>408</v>
      </c>
    </row>
    <row r="158" spans="4:4" hidden="1">
      <c r="D158" s="836" t="s">
        <v>618</v>
      </c>
    </row>
    <row r="159" spans="4:4" hidden="1">
      <c r="D159" s="835" t="s">
        <v>406</v>
      </c>
    </row>
    <row r="160" spans="4:4" hidden="1">
      <c r="D160" s="835" t="s">
        <v>410</v>
      </c>
    </row>
    <row r="161" spans="4:4" hidden="1">
      <c r="D161" s="835" t="s">
        <v>411</v>
      </c>
    </row>
    <row r="162" spans="4:4" hidden="1">
      <c r="D162" s="835" t="s">
        <v>412</v>
      </c>
    </row>
    <row r="163" spans="4:4" hidden="1">
      <c r="D163" s="835" t="s">
        <v>413</v>
      </c>
    </row>
    <row r="164" spans="4:4" hidden="1">
      <c r="D164" s="835" t="s">
        <v>414</v>
      </c>
    </row>
    <row r="165" spans="4:4" hidden="1">
      <c r="D165" s="835" t="s">
        <v>415</v>
      </c>
    </row>
    <row r="166" spans="4:4" hidden="1">
      <c r="D166" s="835" t="s">
        <v>416</v>
      </c>
    </row>
    <row r="167" spans="4:4" hidden="1">
      <c r="D167" s="835" t="s">
        <v>417</v>
      </c>
    </row>
    <row r="168" spans="4:4" hidden="1">
      <c r="D168" s="835" t="s">
        <v>418</v>
      </c>
    </row>
    <row r="169" spans="4:4" hidden="1">
      <c r="D169" s="835" t="s">
        <v>420</v>
      </c>
    </row>
    <row r="170" spans="4:4" hidden="1">
      <c r="D170" s="835" t="s">
        <v>419</v>
      </c>
    </row>
    <row r="171" spans="4:4" hidden="1">
      <c r="D171" s="835" t="s">
        <v>421</v>
      </c>
    </row>
    <row r="172" spans="4:4" hidden="1">
      <c r="D172" s="835" t="s">
        <v>422</v>
      </c>
    </row>
    <row r="173" spans="4:4" hidden="1">
      <c r="D173" s="835" t="s">
        <v>423</v>
      </c>
    </row>
    <row r="174" spans="4:4" hidden="1">
      <c r="D174" s="835" t="s">
        <v>424</v>
      </c>
    </row>
    <row r="175" spans="4:4" hidden="1">
      <c r="D175" s="835" t="s">
        <v>425</v>
      </c>
    </row>
    <row r="176" spans="4:4" hidden="1">
      <c r="D176" s="835" t="s">
        <v>426</v>
      </c>
    </row>
    <row r="177" spans="4:4" hidden="1">
      <c r="D177" s="835" t="s">
        <v>427</v>
      </c>
    </row>
    <row r="178" spans="4:4" hidden="1">
      <c r="D178" s="835" t="s">
        <v>428</v>
      </c>
    </row>
  </sheetData>
  <sheetProtection password="E605" sheet="1" objects="1" scenarios="1"/>
  <mergeCells count="78">
    <mergeCell ref="U12:U13"/>
    <mergeCell ref="V12:V13"/>
    <mergeCell ref="R20:R21"/>
    <mergeCell ref="P20:Q21"/>
    <mergeCell ref="U14:U15"/>
    <mergeCell ref="V14:V15"/>
    <mergeCell ref="V20:V21"/>
    <mergeCell ref="U18:U19"/>
    <mergeCell ref="V18:V19"/>
    <mergeCell ref="U20:U21"/>
    <mergeCell ref="U16:U17"/>
    <mergeCell ref="V16:V17"/>
    <mergeCell ref="S14:S15"/>
    <mergeCell ref="T14:T15"/>
    <mergeCell ref="R12:R13"/>
    <mergeCell ref="R14:R15"/>
    <mergeCell ref="R16:R17"/>
    <mergeCell ref="P26:T27"/>
    <mergeCell ref="T18:T19"/>
    <mergeCell ref="S20:S21"/>
    <mergeCell ref="T20:T21"/>
    <mergeCell ref="R22:R23"/>
    <mergeCell ref="S16:S17"/>
    <mergeCell ref="T16:T17"/>
    <mergeCell ref="S22:S23"/>
    <mergeCell ref="T22:T23"/>
    <mergeCell ref="C18:D18"/>
    <mergeCell ref="C19:D19"/>
    <mergeCell ref="U26:U27"/>
    <mergeCell ref="V26:V27"/>
    <mergeCell ref="U24:U25"/>
    <mergeCell ref="V24:V25"/>
    <mergeCell ref="U22:U23"/>
    <mergeCell ref="V22:V23"/>
    <mergeCell ref="P24:T25"/>
    <mergeCell ref="P22:Q23"/>
    <mergeCell ref="C23:D25"/>
    <mergeCell ref="F23:G23"/>
    <mergeCell ref="F24:G24"/>
    <mergeCell ref="F25:G25"/>
    <mergeCell ref="T12:T13"/>
    <mergeCell ref="C15:D15"/>
    <mergeCell ref="S18:S19"/>
    <mergeCell ref="E9:G9"/>
    <mergeCell ref="E10:G10"/>
    <mergeCell ref="R10:R11"/>
    <mergeCell ref="C16:D16"/>
    <mergeCell ref="E16:G16"/>
    <mergeCell ref="C11:D11"/>
    <mergeCell ref="E11:G11"/>
    <mergeCell ref="C17:D17"/>
    <mergeCell ref="C10:D10"/>
    <mergeCell ref="E15:G15"/>
    <mergeCell ref="E17:G17"/>
    <mergeCell ref="E18:G18"/>
    <mergeCell ref="E19:G19"/>
    <mergeCell ref="Z1:AF1"/>
    <mergeCell ref="AG1:AO1"/>
    <mergeCell ref="AA2:AC2"/>
    <mergeCell ref="AH2:AJ2"/>
    <mergeCell ref="AN2:AN3"/>
    <mergeCell ref="AO2:AO3"/>
    <mergeCell ref="V10:V11"/>
    <mergeCell ref="S10:S11"/>
    <mergeCell ref="U10:U11"/>
    <mergeCell ref="B2:W2"/>
    <mergeCell ref="C5:G5"/>
    <mergeCell ref="P5:V5"/>
    <mergeCell ref="U8:V9"/>
    <mergeCell ref="P8:T9"/>
    <mergeCell ref="C9:D9"/>
    <mergeCell ref="T10:T11"/>
    <mergeCell ref="P10:P19"/>
    <mergeCell ref="Q10:Q11"/>
    <mergeCell ref="Q12:Q17"/>
    <mergeCell ref="Q18:Q19"/>
    <mergeCell ref="R18:R19"/>
    <mergeCell ref="S12:S13"/>
  </mergeCells>
  <phoneticPr fontId="18"/>
  <dataValidations xWindow="175" yWindow="446" count="8">
    <dataValidation type="list" allowBlank="1" showErrorMessage="1" prompt="_x000d_" sqref="E10:G10">
      <formula1>都道府県名</formula1>
    </dataValidation>
    <dataValidation type="list" allowBlank="1" showInputMessage="1" showErrorMessage="1" prompt="距離または気候が最も近い地域を選択して下さい" sqref="E11:G11">
      <formula1>INDIRECT($E$10)</formula1>
    </dataValidation>
    <dataValidation type="list" allowBlank="1" showInputMessage="1" showErrorMessage="1" sqref="E18">
      <formula1>$E$34:$E$36</formula1>
    </dataValidation>
    <dataValidation type="list" allowBlank="1" showInputMessage="1" showErrorMessage="1" sqref="G27:K27">
      <formula1>$F$34:$F$36</formula1>
    </dataValidation>
    <dataValidation type="list" allowBlank="1" showInputMessage="1" showErrorMessage="1" prompt="下記の「生育指数の判断基準」にしたがって、あてはまるものを選択して下さい" sqref="E19:G19">
      <formula1>$F$34:$F$36</formula1>
    </dataValidation>
    <dataValidation type="whole" imeMode="off" operator="greaterThanOrEqual" allowBlank="1" showInputMessage="1" showErrorMessage="1" prompt="６以上の整数で入力して下さい" sqref="E17:G17">
      <formula1>6</formula1>
    </dataValidation>
    <dataValidation type="list" imeMode="off" operator="greaterThanOrEqual" allowBlank="1" showInputMessage="1" showErrorMessage="1" prompt="最も近いものを選択してください。生け垣や芝生の場合は「建物用地」を選択してください。" sqref="E16:G16">
      <formula1>$G$34:$G$43</formula1>
    </dataValidation>
    <dataValidation type="whole" imeMode="off" operator="greaterThanOrEqual" allowBlank="1" showInputMessage="1" showErrorMessage="1" error="整数を半角数字で入力して下さい。" sqref="E15:G15">
      <formula1>0</formula1>
    </dataValidation>
  </dataValidations>
  <printOptions verticalCentered="1"/>
  <pageMargins left="0.23622047244094491" right="0.23622047244094491" top="0.74803149606299213" bottom="0.74803149606299213" header="0.31496062992125984" footer="0.31496062992125984"/>
  <pageSetup paperSize="9" scale="67" orientation="landscape" r:id="rId1"/>
  <colBreaks count="1" manualBreakCount="1">
    <brk id="24" max="1048575" man="1"/>
  </colBreaks>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00FF"/>
    <pageSetUpPr fitToPage="1"/>
  </sheetPr>
  <dimension ref="A1:S148"/>
  <sheetViews>
    <sheetView zoomScale="96" zoomScaleNormal="96" workbookViewId="0">
      <selection activeCell="R20" sqref="R20"/>
    </sheetView>
  </sheetViews>
  <sheetFormatPr defaultColWidth="8.8984375" defaultRowHeight="13.2"/>
  <cols>
    <col min="1" max="2" width="8.8984375" style="183"/>
    <col min="3" max="3" width="14.09765625" style="183" customWidth="1"/>
    <col min="4" max="4" width="10.09765625" style="183" customWidth="1"/>
    <col min="5" max="5" width="1.8984375" style="183" customWidth="1"/>
    <col min="6" max="6" width="22.09765625" style="183" customWidth="1"/>
    <col min="7" max="7" width="17.09765625" style="183" customWidth="1"/>
    <col min="8" max="8" width="18.8984375" style="183" bestFit="1" customWidth="1"/>
    <col min="9" max="9" width="18" style="183" customWidth="1"/>
    <col min="10" max="10" width="12" style="183" bestFit="1" customWidth="1"/>
    <col min="11" max="11" width="10.09765625" style="183" bestFit="1" customWidth="1"/>
    <col min="12" max="12" width="2.69921875" style="183" customWidth="1"/>
    <col min="13" max="13" width="15.09765625" style="183" bestFit="1" customWidth="1"/>
    <col min="14" max="14" width="11" style="183" bestFit="1" customWidth="1"/>
    <col min="15" max="15" width="2.09765625" style="183" customWidth="1"/>
    <col min="16" max="16" width="18.19921875" style="183" customWidth="1"/>
    <col min="17" max="17" width="14.69921875" style="183" bestFit="1" customWidth="1"/>
    <col min="18" max="18" width="22.5" style="183" customWidth="1"/>
    <col min="19" max="19" width="12.09765625" style="183" customWidth="1"/>
    <col min="20" max="16384" width="8.8984375" style="183"/>
  </cols>
  <sheetData>
    <row r="1" spans="1:19" ht="23.4">
      <c r="A1" s="642" t="s">
        <v>524</v>
      </c>
      <c r="B1" s="642"/>
      <c r="C1" s="642"/>
      <c r="D1" s="642"/>
      <c r="E1" s="642"/>
      <c r="F1" s="642"/>
      <c r="G1" s="642"/>
      <c r="H1" s="642"/>
      <c r="I1" s="642"/>
      <c r="J1" s="642"/>
      <c r="K1" s="642"/>
      <c r="M1" s="632" t="s">
        <v>234</v>
      </c>
      <c r="N1" s="632"/>
      <c r="P1" s="633" t="s">
        <v>241</v>
      </c>
      <c r="Q1" s="633"/>
      <c r="R1" s="633"/>
      <c r="S1" s="160"/>
    </row>
    <row r="2" spans="1:19" ht="26.4">
      <c r="A2" s="339" t="s">
        <v>194</v>
      </c>
      <c r="B2" s="339" t="s">
        <v>501</v>
      </c>
      <c r="C2" s="340" t="s">
        <v>642</v>
      </c>
      <c r="D2" s="340" t="s">
        <v>526</v>
      </c>
      <c r="F2" s="340" t="s">
        <v>714</v>
      </c>
      <c r="G2" s="341">
        <v>18.86</v>
      </c>
      <c r="H2" s="341" t="s">
        <v>533</v>
      </c>
      <c r="I2" s="637" t="s">
        <v>715</v>
      </c>
      <c r="J2" s="638"/>
      <c r="K2" s="638"/>
      <c r="M2" s="184" t="s">
        <v>194</v>
      </c>
      <c r="N2" s="184">
        <f>ツール!E10</f>
        <v>0</v>
      </c>
      <c r="P2" s="162" t="s">
        <v>1068</v>
      </c>
      <c r="Q2" s="162" t="e">
        <f>INDEX(C:C,MATCH(N3,B:B,0),1)</f>
        <v>#N/A</v>
      </c>
      <c r="R2" s="162" t="s">
        <v>644</v>
      </c>
      <c r="S2" s="160"/>
    </row>
    <row r="3" spans="1:19" ht="26.4">
      <c r="A3" s="182" t="s">
        <v>254</v>
      </c>
      <c r="B3" s="182" t="s">
        <v>259</v>
      </c>
      <c r="C3" s="182">
        <f>INDEX('蒸散（ドライミスト）2'!P:P,MATCH('蒸散（ドライミスト）1'!B3,'蒸散（ドライミスト）2'!C:C,0),1)</f>
        <v>5.3691170290018881</v>
      </c>
      <c r="D3" s="182">
        <v>40</v>
      </c>
      <c r="F3" s="337" t="s">
        <v>1119</v>
      </c>
      <c r="G3" s="3">
        <v>1.2410000000000001</v>
      </c>
      <c r="H3" s="3" t="s">
        <v>1120</v>
      </c>
      <c r="I3" s="639" t="s">
        <v>1093</v>
      </c>
      <c r="J3" s="639"/>
      <c r="K3" s="639"/>
      <c r="M3" s="184" t="s">
        <v>501</v>
      </c>
      <c r="N3" s="184">
        <f>ツール!E11</f>
        <v>0</v>
      </c>
      <c r="P3" s="163" t="s">
        <v>845</v>
      </c>
      <c r="Q3" s="162" t="e">
        <f>Q2*(0.63-INDEX(K20:K29,MATCH(N5,F20:F29,0),1))</f>
        <v>#N/A</v>
      </c>
      <c r="R3" s="162" t="s">
        <v>846</v>
      </c>
    </row>
    <row r="4" spans="1:19" ht="26.4">
      <c r="A4" s="182" t="s">
        <v>254</v>
      </c>
      <c r="B4" s="182" t="s">
        <v>262</v>
      </c>
      <c r="C4" s="182">
        <f>INDEX('蒸散（ドライミスト）2'!P:P,MATCH('蒸散（ドライミスト）1'!B4,'蒸散（ドライミスト）2'!C:C,0),1)</f>
        <v>4.7316620548428689</v>
      </c>
      <c r="D4" s="182">
        <v>40</v>
      </c>
      <c r="F4" s="337" t="s">
        <v>1117</v>
      </c>
      <c r="G4" s="3">
        <v>119.29</v>
      </c>
      <c r="H4" s="3" t="s">
        <v>1118</v>
      </c>
      <c r="I4" s="640" t="s">
        <v>1121</v>
      </c>
      <c r="J4" s="640"/>
      <c r="K4" s="640"/>
      <c r="M4" s="184" t="s">
        <v>648</v>
      </c>
      <c r="N4" s="170">
        <f>ツール!E15</f>
        <v>0</v>
      </c>
      <c r="P4" s="162" t="s">
        <v>535</v>
      </c>
      <c r="Q4" s="162" t="e">
        <f>INDEX(D:D,MATCH(N3,B:B,0),1)</f>
        <v>#N/A</v>
      </c>
      <c r="R4" s="163" t="s">
        <v>640</v>
      </c>
    </row>
    <row r="5" spans="1:19">
      <c r="A5" s="182" t="s">
        <v>254</v>
      </c>
      <c r="B5" s="182" t="s">
        <v>531</v>
      </c>
      <c r="C5" s="182">
        <f>INDEX('蒸散（ドライミスト）2'!P:P,MATCH('蒸散（ドライミスト）1'!B5,'蒸散（ドライミスト）2'!C:C,0),1)</f>
        <v>5.4606825173748801</v>
      </c>
      <c r="D5" s="182">
        <v>40</v>
      </c>
      <c r="F5" s="338" t="s">
        <v>1091</v>
      </c>
      <c r="G5" s="190">
        <f>G4*G3</f>
        <v>148.03889000000001</v>
      </c>
      <c r="H5" s="325" t="s">
        <v>1092</v>
      </c>
      <c r="I5" s="639"/>
      <c r="J5" s="639"/>
      <c r="K5" s="639"/>
      <c r="M5" s="233" t="s">
        <v>842</v>
      </c>
      <c r="N5" s="184">
        <f>ツール!E16</f>
        <v>0</v>
      </c>
      <c r="P5" s="287" t="s">
        <v>1025</v>
      </c>
      <c r="Q5" s="162" t="e">
        <f>IF(N6="針葉樹",INDEX('生育指数(針葉樹)'!M3:M7,MATCH('蒸散（ドライミスト）1'!N7,'生育指数(針葉樹)'!K3:K7,0),1),INDEX('生育指数(広葉樹)'!F6:F8,MATCH('蒸散（ドライミスト）1'!N7,'生育指数(広葉樹)'!E6:E8,0),1))</f>
        <v>#N/A</v>
      </c>
      <c r="R5" s="163"/>
    </row>
    <row r="6" spans="1:19" ht="15.6">
      <c r="A6" s="182" t="s">
        <v>254</v>
      </c>
      <c r="B6" s="182" t="s">
        <v>253</v>
      </c>
      <c r="C6" s="182">
        <f>INDEX('蒸散（ドライミスト）2'!P:P,MATCH('蒸散（ドライミスト）1'!B6,'蒸散（ドライミスト）2'!C:C,0),1)</f>
        <v>3.7065695942730481</v>
      </c>
      <c r="D6" s="182">
        <v>40</v>
      </c>
      <c r="F6" s="227" t="s">
        <v>726</v>
      </c>
      <c r="G6" s="182">
        <v>8</v>
      </c>
      <c r="H6" s="182" t="s">
        <v>725</v>
      </c>
      <c r="I6" s="641" t="s">
        <v>203</v>
      </c>
      <c r="J6" s="641"/>
      <c r="K6" s="641"/>
      <c r="M6" s="286" t="s">
        <v>1024</v>
      </c>
      <c r="N6" s="184">
        <f>ツール!E18</f>
        <v>0</v>
      </c>
      <c r="P6" s="634" t="s">
        <v>716</v>
      </c>
      <c r="Q6" s="187" t="e">
        <f>Q3*N4*1000000*Q5</f>
        <v>#N/A</v>
      </c>
      <c r="R6" s="292" t="s">
        <v>1032</v>
      </c>
    </row>
    <row r="7" spans="1:19">
      <c r="A7" s="182" t="s">
        <v>254</v>
      </c>
      <c r="B7" s="182" t="s">
        <v>273</v>
      </c>
      <c r="C7" s="182">
        <f>INDEX('蒸散（ドライミスト）2'!P:P,MATCH('蒸散（ドライミスト）1'!B7,'蒸散（ドライミスト）2'!C:C,0),1)</f>
        <v>4.7960137955955</v>
      </c>
      <c r="D7" s="182">
        <v>40</v>
      </c>
      <c r="F7" s="185"/>
      <c r="G7" s="186"/>
      <c r="H7" s="186"/>
      <c r="I7" s="226"/>
      <c r="J7" s="186"/>
      <c r="K7" s="186"/>
      <c r="M7" s="286" t="s">
        <v>1026</v>
      </c>
      <c r="N7" s="184">
        <f>ツール!E19</f>
        <v>0</v>
      </c>
      <c r="P7" s="635"/>
      <c r="Q7" s="187" t="e">
        <f>Q3*N4*1000000/1000*Q5</f>
        <v>#N/A</v>
      </c>
      <c r="R7" s="182" t="s">
        <v>717</v>
      </c>
    </row>
    <row r="8" spans="1:19">
      <c r="A8" s="182" t="s">
        <v>254</v>
      </c>
      <c r="B8" s="182" t="s">
        <v>260</v>
      </c>
      <c r="C8" s="182">
        <f>INDEX('蒸散（ドライミスト）2'!P:P,MATCH('蒸散（ドライミスト）1'!B8,'蒸散（ドライミスト）2'!C:C,0),1)</f>
        <v>4.8945647578604188</v>
      </c>
      <c r="D8" s="182">
        <v>40</v>
      </c>
      <c r="F8" s="227" t="s">
        <v>721</v>
      </c>
      <c r="G8" s="227"/>
      <c r="H8" s="227"/>
      <c r="I8" s="326"/>
      <c r="J8" s="331"/>
      <c r="K8" s="186"/>
      <c r="P8" s="635"/>
      <c r="Q8" s="194" t="e">
        <f>Q6/1000000000</f>
        <v>#N/A</v>
      </c>
      <c r="R8" s="182" t="s">
        <v>718</v>
      </c>
    </row>
    <row r="9" spans="1:19" ht="14.4">
      <c r="A9" s="182" t="s">
        <v>254</v>
      </c>
      <c r="B9" s="182" t="s">
        <v>264</v>
      </c>
      <c r="C9" s="182">
        <f>INDEX('蒸散（ドライミスト）2'!P:P,MATCH('蒸散（ドライミスト）1'!B9,'蒸散（ドライミスト）2'!C:C,0),1)</f>
        <v>5.6804033926979614</v>
      </c>
      <c r="D9" s="182">
        <v>40</v>
      </c>
      <c r="F9" s="190" t="s">
        <v>722</v>
      </c>
      <c r="G9" s="190">
        <v>332</v>
      </c>
      <c r="H9" s="190" t="s">
        <v>724</v>
      </c>
      <c r="I9" s="328" t="s">
        <v>723</v>
      </c>
      <c r="J9" s="332"/>
      <c r="K9" s="225"/>
      <c r="P9" s="636"/>
      <c r="Q9" s="195" t="e">
        <f>Q8*Q4</f>
        <v>#N/A</v>
      </c>
      <c r="R9" s="179" t="s">
        <v>743</v>
      </c>
    </row>
    <row r="10" spans="1:19">
      <c r="A10" s="182" t="s">
        <v>254</v>
      </c>
      <c r="B10" s="182" t="s">
        <v>536</v>
      </c>
      <c r="C10" s="182">
        <f>INDEX('蒸散（ドライミスト）2'!P:P,MATCH('蒸散（ドライミスト）1'!B10,'蒸散（ドライミスト）2'!C:C,0),1)</f>
        <v>5.365301556572831</v>
      </c>
      <c r="D10" s="182">
        <v>40</v>
      </c>
      <c r="F10" s="190" t="s">
        <v>727</v>
      </c>
      <c r="G10" s="190">
        <v>200</v>
      </c>
      <c r="H10" s="190" t="s">
        <v>728</v>
      </c>
      <c r="I10" s="327"/>
      <c r="J10" s="332"/>
      <c r="K10" s="186"/>
      <c r="P10" s="180" t="s">
        <v>681</v>
      </c>
      <c r="Q10" s="182">
        <f>G5</f>
        <v>148.03889000000001</v>
      </c>
      <c r="R10" s="292" t="s">
        <v>78</v>
      </c>
    </row>
    <row r="11" spans="1:19">
      <c r="A11" s="182" t="s">
        <v>254</v>
      </c>
      <c r="B11" s="182" t="s">
        <v>537</v>
      </c>
      <c r="C11" s="182">
        <f>INDEX('蒸散（ドライミスト）2'!P:P,MATCH('蒸散（ドライミスト）1'!B11,'蒸散（ドライミスト）2'!C:C,0),1)</f>
        <v>4.1170030033943172</v>
      </c>
      <c r="D11" s="182">
        <v>40</v>
      </c>
      <c r="F11" s="190" t="s">
        <v>730</v>
      </c>
      <c r="G11" s="190">
        <v>7.5</v>
      </c>
      <c r="H11" s="190" t="s">
        <v>731</v>
      </c>
      <c r="I11" s="329" t="s">
        <v>695</v>
      </c>
      <c r="J11" s="332"/>
      <c r="K11" s="176"/>
      <c r="P11" s="181" t="s">
        <v>720</v>
      </c>
      <c r="Q11" s="192" t="e">
        <f>Q8*Q10*Q4</f>
        <v>#N/A</v>
      </c>
      <c r="R11" s="179" t="s">
        <v>46</v>
      </c>
    </row>
    <row r="12" spans="1:19">
      <c r="A12" s="182" t="s">
        <v>254</v>
      </c>
      <c r="B12" s="182" t="s">
        <v>538</v>
      </c>
      <c r="C12" s="182">
        <f>INDEX('蒸散（ドライミスト）2'!P:P,MATCH('蒸散（ドライミスト）1'!B12,'蒸散（ドライミスト）2'!C:C,0),1)</f>
        <v>4.8498101310190274</v>
      </c>
      <c r="D12" s="182">
        <v>40</v>
      </c>
      <c r="F12" s="190" t="s">
        <v>729</v>
      </c>
      <c r="G12" s="190">
        <f>G10/G11</f>
        <v>26.666666666666668</v>
      </c>
      <c r="H12" s="190" t="s">
        <v>732</v>
      </c>
      <c r="I12" s="327"/>
      <c r="J12" s="332"/>
      <c r="K12" s="186"/>
      <c r="P12" s="181" t="s">
        <v>740</v>
      </c>
      <c r="Q12" s="193" t="e">
        <f>G16*Q7*Q4</f>
        <v>#N/A</v>
      </c>
      <c r="R12" s="179" t="s">
        <v>46</v>
      </c>
    </row>
    <row r="13" spans="1:19" ht="14.4">
      <c r="A13" s="182" t="s">
        <v>254</v>
      </c>
      <c r="B13" s="182" t="s">
        <v>258</v>
      </c>
      <c r="C13" s="182">
        <f>INDEX('蒸散（ドライミスト）2'!P:P,MATCH('蒸散（ドライミスト）1'!B13,'蒸散（ドライミスト）2'!C:C,0),1)</f>
        <v>4.3644036926330063</v>
      </c>
      <c r="D13" s="182">
        <v>40</v>
      </c>
      <c r="F13" s="190" t="s">
        <v>733</v>
      </c>
      <c r="G13" s="190">
        <f>G10*G9*60</f>
        <v>3984000</v>
      </c>
      <c r="H13" s="190" t="s">
        <v>734</v>
      </c>
      <c r="I13" s="328" t="s">
        <v>723</v>
      </c>
      <c r="J13" s="332"/>
      <c r="K13" s="225"/>
      <c r="P13" s="179" t="s">
        <v>741</v>
      </c>
      <c r="Q13" s="192" t="e">
        <f>SUM(Q11:Q12)</f>
        <v>#N/A</v>
      </c>
      <c r="R13" s="179" t="s">
        <v>46</v>
      </c>
    </row>
    <row r="14" spans="1:19" ht="14.4">
      <c r="A14" s="182" t="s">
        <v>254</v>
      </c>
      <c r="B14" s="182" t="s">
        <v>261</v>
      </c>
      <c r="C14" s="182">
        <f>INDEX('蒸散（ドライミスト）2'!P:P,MATCH('蒸散（ドライミスト）1'!B14,'蒸散（ドライミスト）2'!C:C,0),1)</f>
        <v>4.4661279383664265</v>
      </c>
      <c r="D14" s="182">
        <v>40</v>
      </c>
      <c r="F14" s="190" t="s">
        <v>736</v>
      </c>
      <c r="G14" s="190">
        <v>49.8</v>
      </c>
      <c r="H14" s="190" t="s">
        <v>737</v>
      </c>
      <c r="I14" s="328" t="s">
        <v>723</v>
      </c>
      <c r="J14" s="332"/>
      <c r="K14" s="225"/>
      <c r="P14" s="178"/>
      <c r="Q14" s="178"/>
      <c r="R14" s="178"/>
    </row>
    <row r="15" spans="1:19">
      <c r="A15" s="182" t="s">
        <v>254</v>
      </c>
      <c r="B15" s="182" t="s">
        <v>263</v>
      </c>
      <c r="C15" s="182">
        <f>INDEX('蒸散（ドライミスト）2'!P:P,MATCH('蒸散（ドライミスト）1'!B15,'蒸散（ドライミスト）2'!C:C,0),1)</f>
        <v>5.0809558026726647</v>
      </c>
      <c r="D15" s="182">
        <v>40</v>
      </c>
      <c r="F15" s="190" t="s">
        <v>735</v>
      </c>
      <c r="G15" s="190">
        <f>G14/G13</f>
        <v>1.2499999999999999E-5</v>
      </c>
      <c r="H15" s="190" t="s">
        <v>738</v>
      </c>
      <c r="I15" s="330"/>
      <c r="J15" s="332"/>
      <c r="K15" s="186"/>
      <c r="P15" s="178"/>
      <c r="Q15" s="178"/>
      <c r="R15" s="178"/>
    </row>
    <row r="16" spans="1:19">
      <c r="A16" s="182" t="s">
        <v>254</v>
      </c>
      <c r="B16" s="182" t="s">
        <v>265</v>
      </c>
      <c r="C16" s="182">
        <f>INDEX('蒸散（ドライミスト）2'!P:P,MATCH('蒸散（ドライミスト）1'!B16,'蒸散（ドライミスト）2'!C:C,0),1)</f>
        <v>3.8059960466244802</v>
      </c>
      <c r="D16" s="182">
        <v>40</v>
      </c>
      <c r="F16" s="190" t="s">
        <v>739</v>
      </c>
      <c r="G16" s="190">
        <f>G2*G15</f>
        <v>2.3574999999999998E-4</v>
      </c>
      <c r="H16" s="190" t="s">
        <v>692</v>
      </c>
      <c r="I16" s="190"/>
      <c r="P16" s="178"/>
      <c r="Q16" s="178"/>
      <c r="R16" s="178"/>
    </row>
    <row r="17" spans="1:18">
      <c r="A17" s="182" t="s">
        <v>254</v>
      </c>
      <c r="B17" s="182" t="s">
        <v>266</v>
      </c>
      <c r="C17" s="182">
        <f>INDEX('蒸散（ドライミスト）2'!P:P,MATCH('蒸散（ドライミスト）1'!B17,'蒸散（ドライミスト）2'!C:C,0),1)</f>
        <v>3.6006413393145609</v>
      </c>
      <c r="D17" s="182">
        <v>40</v>
      </c>
      <c r="F17" s="190" t="s">
        <v>739</v>
      </c>
      <c r="G17" s="356">
        <f>G16*1000*1000</f>
        <v>235.75</v>
      </c>
      <c r="H17" s="357" t="s">
        <v>1122</v>
      </c>
      <c r="I17" s="190"/>
      <c r="J17" s="355"/>
      <c r="K17" s="342"/>
      <c r="P17" s="178"/>
      <c r="Q17" s="178"/>
      <c r="R17" s="178"/>
    </row>
    <row r="18" spans="1:18">
      <c r="A18" s="182" t="s">
        <v>254</v>
      </c>
      <c r="B18" s="182" t="s">
        <v>267</v>
      </c>
      <c r="C18" s="182">
        <f>INDEX('蒸散（ドライミスト）2'!P:P,MATCH('蒸散（ドライミスト）1'!B18,'蒸散（ドライミスト）2'!C:C,0),1)</f>
        <v>5.3462066434995492</v>
      </c>
      <c r="D18" s="182">
        <v>40</v>
      </c>
      <c r="F18" s="185"/>
      <c r="G18" s="186"/>
      <c r="H18" s="186"/>
      <c r="I18" s="186"/>
      <c r="J18" s="186"/>
      <c r="K18" s="186"/>
      <c r="P18" s="178"/>
      <c r="Q18" s="178"/>
      <c r="R18" s="178"/>
    </row>
    <row r="19" spans="1:18">
      <c r="A19" s="182" t="s">
        <v>254</v>
      </c>
      <c r="B19" s="182" t="s">
        <v>539</v>
      </c>
      <c r="C19" s="182">
        <f>INDEX('蒸散（ドライミスト）2'!P:P,MATCH('蒸散（ドライミスト）1'!B19,'蒸散（ドライミスト）2'!C:C,0),1)</f>
        <v>4.0790879601664356</v>
      </c>
      <c r="D19" s="182">
        <v>40</v>
      </c>
      <c r="F19" s="232" t="s">
        <v>835</v>
      </c>
      <c r="G19" s="232" t="s">
        <v>836</v>
      </c>
      <c r="H19" s="232" t="s">
        <v>837</v>
      </c>
      <c r="I19" s="232" t="s">
        <v>838</v>
      </c>
      <c r="J19" s="232" t="s">
        <v>839</v>
      </c>
      <c r="K19" s="232" t="s">
        <v>840</v>
      </c>
      <c r="P19" s="178"/>
      <c r="Q19" s="178"/>
      <c r="R19" s="178"/>
    </row>
    <row r="20" spans="1:18">
      <c r="A20" s="182" t="s">
        <v>254</v>
      </c>
      <c r="B20" s="182" t="s">
        <v>540</v>
      </c>
      <c r="C20" s="182">
        <f>INDEX('蒸散（ドライミスト）2'!P:P,MATCH('蒸散（ドライミスト）1'!B20,'蒸散（ドライミスト）2'!C:C,0),1)</f>
        <v>3.2386858590212726</v>
      </c>
      <c r="D20" s="182">
        <v>40</v>
      </c>
      <c r="F20" s="228" t="s">
        <v>825</v>
      </c>
      <c r="G20" s="229">
        <v>0.2</v>
      </c>
      <c r="H20" s="229">
        <v>0.95</v>
      </c>
      <c r="I20" s="229">
        <v>0.6</v>
      </c>
      <c r="J20" s="229">
        <v>0.13</v>
      </c>
      <c r="K20" s="229">
        <v>0.84</v>
      </c>
      <c r="P20" s="178"/>
      <c r="Q20" s="178"/>
      <c r="R20" s="178"/>
    </row>
    <row r="21" spans="1:18">
      <c r="A21" s="182" t="s">
        <v>254</v>
      </c>
      <c r="B21" s="182" t="s">
        <v>271</v>
      </c>
      <c r="C21" s="182">
        <f>INDEX('蒸散（ドライミスト）2'!P:P,MATCH('蒸散（ドライミスト）1'!B21,'蒸散（ドライミスト）2'!C:C,0),1)</f>
        <v>3.9956817632819366</v>
      </c>
      <c r="D21" s="182">
        <v>40</v>
      </c>
      <c r="F21" s="230" t="s">
        <v>826</v>
      </c>
      <c r="G21" s="229">
        <v>0.17</v>
      </c>
      <c r="H21" s="229">
        <v>0.85</v>
      </c>
      <c r="I21" s="229">
        <v>0.5</v>
      </c>
      <c r="J21" s="229">
        <v>0.13</v>
      </c>
      <c r="K21" s="229">
        <v>0.75</v>
      </c>
    </row>
    <row r="22" spans="1:18">
      <c r="A22" s="182" t="s">
        <v>254</v>
      </c>
      <c r="B22" s="182" t="s">
        <v>272</v>
      </c>
      <c r="C22" s="182">
        <f>INDEX('蒸散（ドライミスト）2'!P:P,MATCH('蒸散（ドライミスト）1'!B22,'蒸散（ドライミスト）2'!C:C,0),1)</f>
        <v>4.7126736168918884</v>
      </c>
      <c r="D22" s="182">
        <v>40</v>
      </c>
      <c r="F22" s="230" t="s">
        <v>827</v>
      </c>
      <c r="G22" s="229">
        <v>0.15</v>
      </c>
      <c r="H22" s="229">
        <v>0.95</v>
      </c>
      <c r="I22" s="229">
        <v>0.4</v>
      </c>
      <c r="J22" s="229">
        <v>0.13</v>
      </c>
      <c r="K22" s="229">
        <v>0.63</v>
      </c>
    </row>
    <row r="23" spans="1:18">
      <c r="A23" s="182" t="s">
        <v>254</v>
      </c>
      <c r="B23" s="182" t="s">
        <v>274</v>
      </c>
      <c r="C23" s="182">
        <f>INDEX('蒸散（ドライミスト）2'!P:P,MATCH('蒸散（ドライミスト）1'!B23,'蒸散（ドライミスト）2'!C:C,0),1)</f>
        <v>4.9495391557906716</v>
      </c>
      <c r="D23" s="182">
        <v>40</v>
      </c>
      <c r="F23" s="230" t="s">
        <v>828</v>
      </c>
      <c r="G23" s="229">
        <v>0.2</v>
      </c>
      <c r="H23" s="229">
        <v>0.8</v>
      </c>
      <c r="I23" s="229">
        <v>0.2</v>
      </c>
      <c r="J23" s="229">
        <v>0.13</v>
      </c>
      <c r="K23" s="229">
        <v>0.12</v>
      </c>
    </row>
    <row r="24" spans="1:18">
      <c r="A24" s="182" t="s">
        <v>254</v>
      </c>
      <c r="B24" s="182" t="s">
        <v>541</v>
      </c>
      <c r="C24" s="182">
        <f>INDEX('蒸散（ドライミスト）2'!P:P,MATCH('蒸散（ドライミスト）1'!B24,'蒸散（ドライミスト）2'!C:C,0),1)</f>
        <v>4.6734468602550265</v>
      </c>
      <c r="D24" s="182">
        <v>40</v>
      </c>
      <c r="F24" s="230" t="s">
        <v>829</v>
      </c>
      <c r="G24" s="229">
        <v>0.1</v>
      </c>
      <c r="H24" s="229">
        <v>0.7</v>
      </c>
      <c r="I24" s="229">
        <v>0.2</v>
      </c>
      <c r="J24" s="229">
        <v>0.18</v>
      </c>
      <c r="K24" s="229">
        <v>0.24</v>
      </c>
    </row>
    <row r="25" spans="1:18">
      <c r="A25" s="182" t="s">
        <v>254</v>
      </c>
      <c r="B25" s="182" t="s">
        <v>276</v>
      </c>
      <c r="C25" s="182">
        <f>INDEX('蒸散（ドライミスト）2'!P:P,MATCH('蒸散（ドライミスト）1'!B25,'蒸散（ドライミスト）2'!C:C,0),1)</f>
        <v>4.019430834931935</v>
      </c>
      <c r="D25" s="182">
        <v>40</v>
      </c>
      <c r="F25" s="230" t="s">
        <v>830</v>
      </c>
      <c r="G25" s="229">
        <v>0.1</v>
      </c>
      <c r="H25" s="229">
        <v>0.7</v>
      </c>
      <c r="I25" s="229">
        <v>0.2</v>
      </c>
      <c r="J25" s="229">
        <v>0.18</v>
      </c>
      <c r="K25" s="229">
        <v>0.24</v>
      </c>
    </row>
    <row r="26" spans="1:18">
      <c r="A26" s="182" t="s">
        <v>542</v>
      </c>
      <c r="B26" s="182" t="s">
        <v>542</v>
      </c>
      <c r="C26" s="182">
        <f>INDEX('蒸散（ドライミスト）2'!P:P,MATCH('蒸散（ドライミスト）1'!B26,'蒸散（ドライミスト）2'!C:C,0),1)</f>
        <v>5.8765608805427334</v>
      </c>
      <c r="D26" s="182">
        <v>50</v>
      </c>
      <c r="F26" s="230" t="s">
        <v>831</v>
      </c>
      <c r="G26" s="231">
        <v>0.2</v>
      </c>
      <c r="H26" s="229">
        <v>0.7</v>
      </c>
      <c r="I26" s="229">
        <v>0.2</v>
      </c>
      <c r="J26" s="229">
        <v>0.18</v>
      </c>
      <c r="K26" s="229">
        <v>0.24</v>
      </c>
    </row>
    <row r="27" spans="1:18">
      <c r="A27" s="182" t="s">
        <v>543</v>
      </c>
      <c r="B27" s="182" t="s">
        <v>277</v>
      </c>
      <c r="C27" s="182">
        <f>INDEX('蒸散（ドライミスト）2'!P:P,MATCH('蒸散（ドライミスト）1'!B27,'蒸散（ドライミスト）2'!C:C,0),1)</f>
        <v>4.9288455680484304</v>
      </c>
      <c r="D27" s="182">
        <v>50</v>
      </c>
      <c r="F27" s="230" t="s">
        <v>832</v>
      </c>
      <c r="G27" s="229">
        <v>0.08</v>
      </c>
      <c r="H27" s="229">
        <v>1</v>
      </c>
      <c r="I27" s="229">
        <v>1</v>
      </c>
      <c r="J27" s="229">
        <v>0.5</v>
      </c>
      <c r="K27" s="229">
        <v>1</v>
      </c>
    </row>
    <row r="28" spans="1:18">
      <c r="A28" s="182" t="s">
        <v>543</v>
      </c>
      <c r="B28" s="182" t="s">
        <v>544</v>
      </c>
      <c r="C28" s="182">
        <f>INDEX('蒸散（ドライミスト）2'!P:P,MATCH('蒸散（ドライミスト）1'!B28,'蒸散（ドライミスト）2'!C:C,0),1)</f>
        <v>4.7025103418056444</v>
      </c>
      <c r="D28" s="182">
        <v>50</v>
      </c>
      <c r="F28" s="230" t="s">
        <v>833</v>
      </c>
      <c r="G28" s="229">
        <v>0.25</v>
      </c>
      <c r="H28" s="229">
        <v>1</v>
      </c>
      <c r="I28" s="229">
        <v>0.9</v>
      </c>
      <c r="J28" s="229">
        <v>0.5</v>
      </c>
      <c r="K28" s="229">
        <v>1</v>
      </c>
    </row>
    <row r="29" spans="1:18">
      <c r="A29" s="182" t="s">
        <v>543</v>
      </c>
      <c r="B29" s="182" t="s">
        <v>280</v>
      </c>
      <c r="C29" s="182">
        <f>INDEX('蒸散（ドライミスト）2'!P:P,MATCH('蒸散（ドライミスト）1'!B29,'蒸散（ドライミスト）2'!C:C,0),1)</f>
        <v>4.8515136532477419</v>
      </c>
      <c r="D29" s="182">
        <v>50</v>
      </c>
      <c r="F29" s="230" t="s">
        <v>834</v>
      </c>
      <c r="G29" s="229">
        <v>0.19</v>
      </c>
      <c r="H29" s="229">
        <v>0.8</v>
      </c>
      <c r="I29" s="229">
        <v>0.2</v>
      </c>
      <c r="J29" s="229">
        <v>0.13</v>
      </c>
      <c r="K29" s="229">
        <v>0.12</v>
      </c>
    </row>
    <row r="30" spans="1:18">
      <c r="A30" s="182" t="s">
        <v>545</v>
      </c>
      <c r="B30" s="182" t="s">
        <v>545</v>
      </c>
      <c r="C30" s="182">
        <f>INDEX('蒸散（ドライミスト）2'!P:P,MATCH('蒸散（ドライミスト）1'!B30,'蒸散（ドライミスト）2'!C:C,0),1)</f>
        <v>6.3859893092311619</v>
      </c>
      <c r="D30" s="182">
        <v>50</v>
      </c>
      <c r="F30" s="185"/>
      <c r="G30" s="186"/>
      <c r="H30" s="224"/>
      <c r="I30" s="186"/>
      <c r="J30" s="186"/>
      <c r="K30" s="186"/>
    </row>
    <row r="31" spans="1:18">
      <c r="A31" s="182" t="s">
        <v>282</v>
      </c>
      <c r="B31" s="182" t="s">
        <v>546</v>
      </c>
      <c r="C31" s="182">
        <f>INDEX('蒸散（ドライミスト）2'!P:P,MATCH('蒸散（ドライミスト）1'!B31,'蒸散（ドライミスト）2'!C:C,0),1)</f>
        <v>6.306295728441861</v>
      </c>
      <c r="D31" s="182">
        <v>50</v>
      </c>
    </row>
    <row r="32" spans="1:18" ht="15.6">
      <c r="A32" s="182" t="s">
        <v>282</v>
      </c>
      <c r="B32" s="182" t="s">
        <v>547</v>
      </c>
      <c r="C32" s="182">
        <f>INDEX('蒸散（ドライミスト）2'!P:P,MATCH('蒸散（ドライミスト）1'!B32,'蒸散（ドライミスト）2'!C:C,0),1)</f>
        <v>4.6440683774358629</v>
      </c>
      <c r="D32" s="182">
        <v>50</v>
      </c>
      <c r="F32" s="227" t="s">
        <v>713</v>
      </c>
      <c r="G32" s="318" t="s">
        <v>841</v>
      </c>
      <c r="H32" s="320" t="s">
        <v>1072</v>
      </c>
    </row>
    <row r="33" spans="1:16">
      <c r="A33" s="182" t="s">
        <v>548</v>
      </c>
      <c r="B33" s="182" t="s">
        <v>548</v>
      </c>
      <c r="C33" s="182">
        <f>INDEX('蒸散（ドライミスト）2'!P:P,MATCH('蒸散（ドライミスト）1'!B33,'蒸散（ドライミスト）2'!C:C,0),1)</f>
        <v>6.9001860160486146</v>
      </c>
      <c r="D33" s="182">
        <v>50</v>
      </c>
      <c r="F33" s="322" t="s">
        <v>109</v>
      </c>
      <c r="G33" s="323">
        <v>222.26999999999998</v>
      </c>
      <c r="H33" s="319"/>
    </row>
    <row r="34" spans="1:16">
      <c r="A34" s="182" t="s">
        <v>290</v>
      </c>
      <c r="B34" s="182" t="s">
        <v>549</v>
      </c>
      <c r="C34" s="182">
        <f>INDEX('蒸散（ドライミスト）2'!P:P,MATCH('蒸散（ドライミスト）1'!B34,'蒸散（ドライミスト）2'!C:C,0),1)</f>
        <v>5.7716724119027507</v>
      </c>
      <c r="D34" s="182">
        <v>50</v>
      </c>
      <c r="F34" s="322" t="s">
        <v>113</v>
      </c>
      <c r="G34" s="323">
        <v>214.14000000000001</v>
      </c>
      <c r="H34" s="319"/>
    </row>
    <row r="35" spans="1:16">
      <c r="A35" s="182" t="s">
        <v>290</v>
      </c>
      <c r="B35" s="182" t="s">
        <v>289</v>
      </c>
      <c r="C35" s="182">
        <f>INDEX('蒸散（ドライミスト）2'!P:P,MATCH('蒸散（ドライミスト）1'!B35,'蒸散（ドライミスト）2'!C:C,0),1)</f>
        <v>5.7320236387178509</v>
      </c>
      <c r="D35" s="182">
        <v>50</v>
      </c>
      <c r="F35" s="322" t="s">
        <v>111</v>
      </c>
      <c r="G35" s="323">
        <v>212.45999999999998</v>
      </c>
      <c r="H35" s="319"/>
    </row>
    <row r="36" spans="1:16">
      <c r="A36" s="182" t="s">
        <v>285</v>
      </c>
      <c r="B36" s="182" t="s">
        <v>284</v>
      </c>
      <c r="C36" s="182">
        <f>INDEX('蒸散（ドライミスト）2'!P:P,MATCH('蒸散（ドライミスト）1'!B36,'蒸散（ドライミスト）2'!C:C,0),1)</f>
        <v>5.9078140810087056</v>
      </c>
      <c r="D36" s="182">
        <v>50</v>
      </c>
      <c r="F36" s="322" t="s">
        <v>90</v>
      </c>
      <c r="G36" s="323">
        <v>209.05</v>
      </c>
      <c r="H36" s="319"/>
    </row>
    <row r="37" spans="1:16">
      <c r="A37" s="182" t="s">
        <v>285</v>
      </c>
      <c r="B37" s="182" t="s">
        <v>286</v>
      </c>
      <c r="C37" s="182">
        <f>INDEX('蒸散（ドライミスト）2'!P:P,MATCH('蒸散（ドライミスト）1'!B37,'蒸散（ドライミスト）2'!C:C,0),1)</f>
        <v>5.3819923238524225</v>
      </c>
      <c r="D37" s="182">
        <v>50</v>
      </c>
      <c r="F37" s="322" t="s">
        <v>148</v>
      </c>
      <c r="G37" s="323">
        <v>208</v>
      </c>
      <c r="H37" s="319"/>
    </row>
    <row r="38" spans="1:16">
      <c r="A38" s="182" t="s">
        <v>550</v>
      </c>
      <c r="B38" s="182" t="s">
        <v>550</v>
      </c>
      <c r="C38" s="182">
        <f>INDEX('蒸散（ドライミスト）2'!P:P,MATCH('蒸散（ドライミスト）1'!B38,'蒸散（ドライミスト）2'!C:C,0),1)</f>
        <v>6.6234779459871662</v>
      </c>
      <c r="D38" s="182">
        <v>50</v>
      </c>
      <c r="F38" s="322" t="s">
        <v>115</v>
      </c>
      <c r="G38" s="323">
        <v>193.73499999999999</v>
      </c>
      <c r="H38" s="319"/>
    </row>
    <row r="39" spans="1:16">
      <c r="A39" s="182" t="s">
        <v>551</v>
      </c>
      <c r="B39" s="182" t="s">
        <v>292</v>
      </c>
      <c r="C39" s="182">
        <f>INDEX('蒸散（ドライミスト）2'!P:P,MATCH('蒸散（ドライミスト）1'!B39,'蒸散（ドライミスト）2'!C:C,0),1)</f>
        <v>6.4164833750104231</v>
      </c>
      <c r="D39" s="182">
        <v>50</v>
      </c>
      <c r="F39" s="322" t="s">
        <v>110</v>
      </c>
      <c r="G39" s="323">
        <v>185.375</v>
      </c>
      <c r="H39" s="319"/>
    </row>
    <row r="40" spans="1:16">
      <c r="A40" s="182" t="s">
        <v>551</v>
      </c>
      <c r="B40" s="182" t="s">
        <v>294</v>
      </c>
      <c r="C40" s="182">
        <f>INDEX('蒸散（ドライミスト）2'!P:P,MATCH('蒸散（ドライミスト）1'!B40,'蒸散（ドライミスト）2'!C:C,0),1)</f>
        <v>4.5408153850488784</v>
      </c>
      <c r="D40" s="182">
        <v>50</v>
      </c>
      <c r="F40" s="322" t="s">
        <v>114</v>
      </c>
      <c r="G40" s="323">
        <v>183.965</v>
      </c>
      <c r="H40" s="319"/>
    </row>
    <row r="41" spans="1:16">
      <c r="A41" s="182" t="s">
        <v>551</v>
      </c>
      <c r="B41" s="182" t="s">
        <v>295</v>
      </c>
      <c r="C41" s="182">
        <f>INDEX('蒸散（ドライミスト）2'!P:P,MATCH('蒸散（ドライミスト）1'!B41,'蒸散（ドライミスト）2'!C:C,0),1)</f>
        <v>4.4284798076697527</v>
      </c>
      <c r="D41" s="182">
        <v>50</v>
      </c>
      <c r="F41" s="322" t="s">
        <v>147</v>
      </c>
      <c r="G41" s="323">
        <v>182.685</v>
      </c>
      <c r="H41" s="319"/>
    </row>
    <row r="42" spans="1:16">
      <c r="A42" s="182" t="s">
        <v>552</v>
      </c>
      <c r="B42" s="182" t="s">
        <v>553</v>
      </c>
      <c r="C42" s="182">
        <f>INDEX('蒸散（ドライミスト）2'!P:P,MATCH('蒸散（ドライミスト）1'!B42,'蒸散（ドライミスト）2'!C:C,0),1)</f>
        <v>4.9854495672106225</v>
      </c>
      <c r="D42" s="182">
        <v>60</v>
      </c>
      <c r="F42" s="322" t="s">
        <v>112</v>
      </c>
      <c r="G42" s="323">
        <v>181.62</v>
      </c>
      <c r="H42" s="319"/>
    </row>
    <row r="43" spans="1:16">
      <c r="A43" s="182" t="s">
        <v>552</v>
      </c>
      <c r="B43" s="182" t="s">
        <v>554</v>
      </c>
      <c r="C43" s="182">
        <f>INDEX('蒸散（ドライミスト）2'!P:P,MATCH('蒸散（ドライミスト）1'!B43,'蒸散（ドライミスト）2'!C:C,0),1)</f>
        <v>3.1444003982353461</v>
      </c>
      <c r="D43" s="182">
        <v>60</v>
      </c>
      <c r="F43" s="322" t="s">
        <v>136</v>
      </c>
      <c r="G43" s="323">
        <v>181.47</v>
      </c>
      <c r="H43" s="319"/>
    </row>
    <row r="44" spans="1:16">
      <c r="A44" s="182" t="s">
        <v>555</v>
      </c>
      <c r="B44" s="182" t="s">
        <v>556</v>
      </c>
      <c r="C44" s="182">
        <f>INDEX('蒸散（ドライミスト）2'!P:P,MATCH('蒸散（ドライミスト）1'!B44,'蒸散（ドライミスト）2'!C:C,0),1)</f>
        <v>3.5408663731028289</v>
      </c>
      <c r="D44" s="182">
        <v>60</v>
      </c>
      <c r="F44" s="322" t="s">
        <v>119</v>
      </c>
      <c r="G44" s="323">
        <v>181.14500000000001</v>
      </c>
      <c r="H44" s="319"/>
    </row>
    <row r="45" spans="1:16">
      <c r="A45" s="182" t="s">
        <v>555</v>
      </c>
      <c r="B45" s="182" t="s">
        <v>557</v>
      </c>
      <c r="C45" s="182">
        <f>INDEX('蒸散（ドライミスト）2'!P:P,MATCH('蒸散（ドライミスト）1'!B45,'蒸散（ドライミスト）2'!C:C,0),1)</f>
        <v>5.6253392808657843</v>
      </c>
      <c r="D45" s="182">
        <v>60</v>
      </c>
      <c r="F45" s="322" t="s">
        <v>149</v>
      </c>
      <c r="G45" s="323">
        <v>179.04000000000002</v>
      </c>
      <c r="H45" s="319"/>
    </row>
    <row r="46" spans="1:16">
      <c r="A46" s="182" t="s">
        <v>558</v>
      </c>
      <c r="B46" s="182" t="s">
        <v>559</v>
      </c>
      <c r="C46" s="182">
        <f>INDEX('蒸散（ドライミスト）2'!P:P,MATCH('蒸散（ドライミスト）1'!B46,'蒸散（ドライミスト）2'!C:C,0),1)</f>
        <v>5.9811264518300273</v>
      </c>
      <c r="D46" s="182">
        <v>60</v>
      </c>
      <c r="F46" s="322" t="s">
        <v>144</v>
      </c>
      <c r="G46" s="323">
        <v>178.27</v>
      </c>
      <c r="H46" s="319"/>
    </row>
    <row r="47" spans="1:16">
      <c r="A47" s="182" t="s">
        <v>305</v>
      </c>
      <c r="B47" s="182" t="s">
        <v>560</v>
      </c>
      <c r="C47" s="182">
        <f>INDEX('蒸散（ドライミスト）2'!P:P,MATCH('蒸散（ドライミスト）1'!B47,'蒸散（ドライミスト）2'!C:C,0),1)</f>
        <v>3.5250687053118943</v>
      </c>
      <c r="D47" s="182">
        <v>60</v>
      </c>
      <c r="F47" s="322" t="s">
        <v>139</v>
      </c>
      <c r="G47" s="323">
        <v>170.45</v>
      </c>
      <c r="H47" s="319"/>
    </row>
    <row r="48" spans="1:16">
      <c r="A48" s="182" t="s">
        <v>305</v>
      </c>
      <c r="B48" s="182" t="s">
        <v>561</v>
      </c>
      <c r="C48" s="182">
        <f>INDEX('蒸散（ドライミスト）2'!P:P,MATCH('蒸散（ドライミスト）1'!B48,'蒸散（ドライミスト）2'!C:C,0),1)</f>
        <v>5.3081461870731381</v>
      </c>
      <c r="D48" s="182">
        <v>60</v>
      </c>
      <c r="F48" s="322" t="s">
        <v>124</v>
      </c>
      <c r="G48" s="323">
        <v>167.2</v>
      </c>
      <c r="H48" s="319"/>
      <c r="P48" s="188"/>
    </row>
    <row r="49" spans="1:16">
      <c r="A49" s="182" t="s">
        <v>308</v>
      </c>
      <c r="B49" s="182" t="s">
        <v>562</v>
      </c>
      <c r="C49" s="182">
        <f>INDEX('蒸散（ドライミスト）2'!P:P,MATCH('蒸散（ドライミスト）1'!B49,'蒸散（ドライミスト）2'!C:C,0),1)</f>
        <v>5.7741048617362001</v>
      </c>
      <c r="D49" s="182">
        <v>60</v>
      </c>
      <c r="F49" s="322" t="s">
        <v>140</v>
      </c>
      <c r="G49" s="323">
        <v>164.42000000000002</v>
      </c>
      <c r="H49" s="319"/>
    </row>
    <row r="50" spans="1:16">
      <c r="A50" s="182" t="s">
        <v>308</v>
      </c>
      <c r="B50" s="182" t="s">
        <v>310</v>
      </c>
      <c r="C50" s="182">
        <f>INDEX('蒸散（ドライミスト）2'!P:P,MATCH('蒸散（ドライミスト）1'!B50,'蒸散（ドライミスト）2'!C:C,0),1)</f>
        <v>5.373660724266232</v>
      </c>
      <c r="D50" s="182">
        <v>60</v>
      </c>
      <c r="F50" s="322" t="s">
        <v>141</v>
      </c>
      <c r="G50" s="323">
        <v>162.83499999999998</v>
      </c>
      <c r="H50" s="319"/>
      <c r="P50" s="189"/>
    </row>
    <row r="51" spans="1:16">
      <c r="A51" s="182" t="s">
        <v>308</v>
      </c>
      <c r="B51" s="182" t="s">
        <v>563</v>
      </c>
      <c r="C51" s="182">
        <f>INDEX('蒸散（ドライミスト）2'!P:P,MATCH('蒸散（ドライミスト）1'!B51,'蒸散（ドライミスト）2'!C:C,0),1)</f>
        <v>5.8535839741078703</v>
      </c>
      <c r="D51" s="182">
        <v>60</v>
      </c>
      <c r="F51" s="322" t="s">
        <v>154</v>
      </c>
      <c r="G51" s="323">
        <v>158.74</v>
      </c>
      <c r="H51" s="319"/>
      <c r="P51" s="189"/>
    </row>
    <row r="52" spans="1:16">
      <c r="A52" s="182" t="s">
        <v>564</v>
      </c>
      <c r="B52" s="182" t="s">
        <v>564</v>
      </c>
      <c r="C52" s="182">
        <f>INDEX('蒸散（ドライミスト）2'!P:P,MATCH('蒸散（ドライミスト）1'!B52,'蒸散（ドライミスト）2'!C:C,0),1)</f>
        <v>5.1876051028797487</v>
      </c>
      <c r="D52" s="182">
        <v>60</v>
      </c>
      <c r="F52" s="322" t="s">
        <v>127</v>
      </c>
      <c r="G52" s="323">
        <v>158.27500000000001</v>
      </c>
      <c r="H52" s="319"/>
    </row>
    <row r="53" spans="1:16">
      <c r="A53" s="182" t="s">
        <v>311</v>
      </c>
      <c r="B53" s="182" t="s">
        <v>565</v>
      </c>
      <c r="C53" s="182">
        <f>INDEX('蒸散（ドライミスト）2'!P:P,MATCH('蒸散（ドライミスト）1'!B53,'蒸散（ドライミスト）2'!C:C,0),1)</f>
        <v>5.3571944082774836</v>
      </c>
      <c r="D53" s="182">
        <v>60</v>
      </c>
      <c r="F53" s="322" t="s">
        <v>116</v>
      </c>
      <c r="G53" s="323">
        <v>154.43</v>
      </c>
      <c r="H53" s="319"/>
      <c r="P53" s="188"/>
    </row>
    <row r="54" spans="1:16">
      <c r="A54" s="182" t="s">
        <v>311</v>
      </c>
      <c r="B54" s="182" t="s">
        <v>566</v>
      </c>
      <c r="C54" s="182">
        <f>INDEX('蒸散（ドライミスト）2'!P:P,MATCH('蒸散（ドライミスト）1'!B54,'蒸散（ドライミスト）2'!C:C,0),1)</f>
        <v>5.3723037964697768</v>
      </c>
      <c r="D54" s="182">
        <v>60</v>
      </c>
      <c r="F54" s="322" t="s">
        <v>145</v>
      </c>
      <c r="G54" s="323">
        <v>152.73499999999999</v>
      </c>
      <c r="H54" s="319"/>
    </row>
    <row r="55" spans="1:16">
      <c r="A55" s="182" t="s">
        <v>311</v>
      </c>
      <c r="B55" s="182" t="s">
        <v>567</v>
      </c>
      <c r="C55" s="182">
        <f>INDEX('蒸散（ドライミスト）2'!P:P,MATCH('蒸散（ドライミスト）1'!B55,'蒸散（ドライミスト）2'!C:C,0),1)</f>
        <v>5.5129059328820382</v>
      </c>
      <c r="D55" s="182">
        <v>60</v>
      </c>
      <c r="F55" s="322" t="s">
        <v>122</v>
      </c>
      <c r="G55" s="323">
        <v>151.11500000000001</v>
      </c>
      <c r="H55" s="319"/>
      <c r="P55" s="188"/>
    </row>
    <row r="56" spans="1:16">
      <c r="A56" s="182" t="s">
        <v>568</v>
      </c>
      <c r="B56" s="182" t="s">
        <v>569</v>
      </c>
      <c r="C56" s="182">
        <f>INDEX('蒸散（ドライミスト）2'!P:P,MATCH('蒸散（ドライミスト）1'!B56,'蒸散（ドライミスト）2'!C:C,0),1)</f>
        <v>3.1848008208782654</v>
      </c>
      <c r="D56" s="182">
        <v>60</v>
      </c>
      <c r="F56" s="322" t="s">
        <v>123</v>
      </c>
      <c r="G56" s="323">
        <v>148.32</v>
      </c>
      <c r="H56" s="319"/>
      <c r="P56" s="188"/>
    </row>
    <row r="57" spans="1:16">
      <c r="A57" s="182" t="s">
        <v>570</v>
      </c>
      <c r="B57" s="182" t="s">
        <v>570</v>
      </c>
      <c r="C57" s="182">
        <f>INDEX('蒸散（ドライミスト）2'!P:P,MATCH('蒸散（ドライミスト）1'!B57,'蒸散（ドライミスト）2'!C:C,0),1)</f>
        <v>5.846057326650528</v>
      </c>
      <c r="D57" s="182">
        <v>50</v>
      </c>
      <c r="F57" s="322" t="s">
        <v>153</v>
      </c>
      <c r="G57" s="323">
        <v>147.06</v>
      </c>
      <c r="H57" s="319"/>
    </row>
    <row r="58" spans="1:16">
      <c r="A58" s="182" t="s">
        <v>320</v>
      </c>
      <c r="B58" s="182" t="s">
        <v>571</v>
      </c>
      <c r="C58" s="182">
        <f>INDEX('蒸散（ドライミスト）2'!P:P,MATCH('蒸散（ドライミスト）1'!B58,'蒸散（ドライミスト）2'!C:C,0),1)</f>
        <v>5.5050699041270947</v>
      </c>
      <c r="D58" s="182">
        <v>50</v>
      </c>
      <c r="F58" s="322" t="s">
        <v>150</v>
      </c>
      <c r="G58" s="323">
        <v>146.14000000000001</v>
      </c>
      <c r="H58" s="319"/>
    </row>
    <row r="59" spans="1:16">
      <c r="A59" s="182" t="s">
        <v>320</v>
      </c>
      <c r="B59" s="182" t="s">
        <v>572</v>
      </c>
      <c r="C59" s="182">
        <f>INDEX('蒸散（ドライミスト）2'!P:P,MATCH('蒸散（ドライミスト）1'!B59,'蒸散（ドライミスト）2'!C:C,0),1)</f>
        <v>5.9014965294349953</v>
      </c>
      <c r="D59" s="182">
        <v>50</v>
      </c>
      <c r="F59" s="322" t="s">
        <v>151</v>
      </c>
      <c r="G59" s="323">
        <v>145.82999999999998</v>
      </c>
      <c r="H59" s="319"/>
    </row>
    <row r="60" spans="1:16">
      <c r="A60" s="182" t="s">
        <v>323</v>
      </c>
      <c r="B60" s="182" t="s">
        <v>323</v>
      </c>
      <c r="C60" s="182">
        <f>INDEX('蒸散（ドライミスト）2'!P:P,MATCH('蒸散（ドライミスト）1'!B60,'蒸散（ドライミスト）2'!C:C,0),1)</f>
        <v>6.2203872611769624</v>
      </c>
      <c r="D60" s="182">
        <v>50</v>
      </c>
      <c r="F60" s="322" t="s">
        <v>133</v>
      </c>
      <c r="G60" s="323">
        <v>144.08499999999998</v>
      </c>
      <c r="H60" s="319"/>
    </row>
    <row r="61" spans="1:16">
      <c r="A61" s="182" t="s">
        <v>573</v>
      </c>
      <c r="B61" s="182" t="s">
        <v>574</v>
      </c>
      <c r="C61" s="182">
        <f>INDEX('蒸散（ドライミスト）2'!P:P,MATCH('蒸散（ドライミスト）1'!B61,'蒸散（ドライミスト）2'!C:C,0),1)</f>
        <v>6.5464291703500495</v>
      </c>
      <c r="D61" s="182">
        <v>50</v>
      </c>
      <c r="F61" s="322" t="s">
        <v>135</v>
      </c>
      <c r="G61" s="323">
        <v>143.755</v>
      </c>
      <c r="H61" s="319"/>
    </row>
    <row r="62" spans="1:16">
      <c r="A62" s="182" t="s">
        <v>325</v>
      </c>
      <c r="B62" s="182" t="s">
        <v>575</v>
      </c>
      <c r="C62" s="182">
        <f>INDEX('蒸散（ドライミスト）2'!P:P,MATCH('蒸散（ドライミスト）1'!B62,'蒸散（ドライミスト）2'!C:C,0),1)</f>
        <v>3.6064320726585373</v>
      </c>
      <c r="D62" s="182">
        <v>50</v>
      </c>
      <c r="F62" s="322" t="s">
        <v>132</v>
      </c>
      <c r="G62" s="323">
        <v>140.685</v>
      </c>
      <c r="H62" s="319"/>
    </row>
    <row r="63" spans="1:16">
      <c r="A63" s="182" t="s">
        <v>325</v>
      </c>
      <c r="B63" s="182" t="s">
        <v>576</v>
      </c>
      <c r="C63" s="182">
        <f>INDEX('蒸散（ドライミスト）2'!P:P,MATCH('蒸散（ドライミスト）1'!B63,'蒸散（ドライミスト）2'!C:C,0),1)</f>
        <v>6.0440137507357088</v>
      </c>
      <c r="D63" s="182">
        <v>50</v>
      </c>
      <c r="F63" s="322" t="s">
        <v>134</v>
      </c>
      <c r="G63" s="323">
        <v>140.28</v>
      </c>
      <c r="H63" s="319"/>
    </row>
    <row r="64" spans="1:16">
      <c r="A64" s="182" t="s">
        <v>577</v>
      </c>
      <c r="B64" s="182" t="s">
        <v>577</v>
      </c>
      <c r="C64" s="182">
        <f>INDEX('蒸散（ドライミスト）2'!P:P,MATCH('蒸散（ドライミスト）1'!B64,'蒸散（ドライミスト）2'!C:C,0),1)</f>
        <v>6.0361790229623642</v>
      </c>
      <c r="D64" s="182">
        <v>50</v>
      </c>
      <c r="F64" s="322" t="s">
        <v>152</v>
      </c>
      <c r="G64" s="323">
        <v>140.03</v>
      </c>
      <c r="H64" s="319"/>
    </row>
    <row r="65" spans="1:8">
      <c r="A65" s="182" t="s">
        <v>328</v>
      </c>
      <c r="B65" s="182" t="s">
        <v>578</v>
      </c>
      <c r="C65" s="182">
        <f>INDEX('蒸散（ドライミスト）2'!P:P,MATCH('蒸散（ドライミスト）1'!B65,'蒸散（ドライミスト）2'!C:C,0),1)</f>
        <v>7.4628280152515236</v>
      </c>
      <c r="D65" s="182">
        <v>50</v>
      </c>
      <c r="F65" s="322" t="s">
        <v>137</v>
      </c>
      <c r="G65" s="323">
        <v>137.07499999999999</v>
      </c>
      <c r="H65" s="319"/>
    </row>
    <row r="66" spans="1:8">
      <c r="A66" s="182" t="s">
        <v>331</v>
      </c>
      <c r="B66" s="182" t="s">
        <v>579</v>
      </c>
      <c r="C66" s="182">
        <f>INDEX('蒸散（ドライミスト）2'!P:P,MATCH('蒸散（ドライミスト）1'!B66,'蒸散（ドライミスト）2'!C:C,0),1)</f>
        <v>6.1990606781950852</v>
      </c>
      <c r="D66" s="182">
        <v>60</v>
      </c>
      <c r="F66" s="322" t="s">
        <v>142</v>
      </c>
      <c r="G66" s="323">
        <v>136.39500000000001</v>
      </c>
      <c r="H66" s="319"/>
    </row>
    <row r="67" spans="1:8">
      <c r="A67" s="182" t="s">
        <v>331</v>
      </c>
      <c r="B67" s="182" t="s">
        <v>580</v>
      </c>
      <c r="C67" s="182">
        <f>INDEX('蒸散（ドライミスト）2'!P:P,MATCH('蒸散（ドライミスト）1'!B67,'蒸散（ドライミスト）2'!C:C,0),1)</f>
        <v>5.5828350705905034</v>
      </c>
      <c r="D67" s="182">
        <v>60</v>
      </c>
      <c r="F67" s="322" t="s">
        <v>128</v>
      </c>
      <c r="G67" s="323">
        <v>134.785</v>
      </c>
      <c r="H67" s="319"/>
    </row>
    <row r="68" spans="1:8">
      <c r="A68" s="182" t="s">
        <v>581</v>
      </c>
      <c r="B68" s="182" t="s">
        <v>581</v>
      </c>
      <c r="C68" s="182">
        <f>INDEX('蒸散（ドライミスト）2'!P:P,MATCH('蒸散（ドライミスト）1'!B68,'蒸散（ドライミスト）2'!C:C,0),1)</f>
        <v>6.8732690020654887</v>
      </c>
      <c r="D68" s="182">
        <v>60</v>
      </c>
      <c r="F68" s="322" t="s">
        <v>719</v>
      </c>
      <c r="G68" s="323">
        <v>132.45999999999998</v>
      </c>
      <c r="H68" s="319"/>
    </row>
    <row r="69" spans="1:8">
      <c r="A69" s="182" t="s">
        <v>333</v>
      </c>
      <c r="B69" s="182" t="s">
        <v>334</v>
      </c>
      <c r="C69" s="182">
        <f>INDEX('蒸散（ドライミスト）2'!P:P,MATCH('蒸散（ドライミスト）1'!B69,'蒸散（ドライミスト）2'!C:C,0),1)</f>
        <v>6.7634462394450843</v>
      </c>
      <c r="D69" s="182">
        <v>60</v>
      </c>
      <c r="F69" s="322" t="s">
        <v>143</v>
      </c>
      <c r="G69" s="323">
        <v>131.85999999999999</v>
      </c>
      <c r="H69" s="319"/>
    </row>
    <row r="70" spans="1:8">
      <c r="A70" s="182" t="s">
        <v>333</v>
      </c>
      <c r="B70" s="182" t="s">
        <v>582</v>
      </c>
      <c r="C70" s="182">
        <f>INDEX('蒸散（ドライミスト）2'!P:P,MATCH('蒸散（ドライミスト）1'!B70,'蒸散（ドライミスト）2'!C:C,0),1)</f>
        <v>6.1932805916821518</v>
      </c>
      <c r="D70" s="182">
        <v>60</v>
      </c>
      <c r="F70" s="322" t="s">
        <v>138</v>
      </c>
      <c r="G70" s="323">
        <v>131.01500000000001</v>
      </c>
      <c r="H70" s="319"/>
    </row>
    <row r="71" spans="1:8">
      <c r="A71" s="182" t="s">
        <v>333</v>
      </c>
      <c r="B71" s="182" t="s">
        <v>583</v>
      </c>
      <c r="C71" s="182">
        <f>INDEX('蒸散（ドライミスト）2'!P:P,MATCH('蒸散（ドライミスト）1'!B71,'蒸散（ドライミスト）2'!C:C,0),1)</f>
        <v>5.2100130942209599</v>
      </c>
      <c r="D71" s="182">
        <v>60</v>
      </c>
      <c r="F71" s="322" t="s">
        <v>117</v>
      </c>
      <c r="G71" s="323">
        <v>129.06</v>
      </c>
      <c r="H71" s="319"/>
    </row>
    <row r="72" spans="1:8">
      <c r="A72" s="182" t="s">
        <v>333</v>
      </c>
      <c r="B72" s="182" t="s">
        <v>337</v>
      </c>
      <c r="C72" s="182">
        <f>INDEX('蒸散（ドライミスト）2'!P:P,MATCH('蒸散（ドライミスト）1'!B72,'蒸散（ドライミスト）2'!C:C,0),1)</f>
        <v>6.6293821178078893</v>
      </c>
      <c r="D72" s="182">
        <v>60</v>
      </c>
      <c r="F72" s="322" t="s">
        <v>125</v>
      </c>
      <c r="G72" s="323">
        <v>126.295</v>
      </c>
      <c r="H72" s="319"/>
    </row>
    <row r="73" spans="1:8">
      <c r="A73" s="182" t="s">
        <v>584</v>
      </c>
      <c r="B73" s="182" t="s">
        <v>339</v>
      </c>
      <c r="C73" s="182">
        <f>INDEX('蒸散（ドライミスト）2'!P:P,MATCH('蒸散（ドライミスト）1'!B73,'蒸散（ドライミスト）2'!C:C,0),1)</f>
        <v>3.5189664951123953</v>
      </c>
      <c r="D73" s="182">
        <v>60</v>
      </c>
      <c r="F73" s="322" t="s">
        <v>120</v>
      </c>
      <c r="G73" s="323">
        <v>123.575</v>
      </c>
      <c r="H73" s="319"/>
    </row>
    <row r="74" spans="1:8">
      <c r="A74" s="182" t="s">
        <v>584</v>
      </c>
      <c r="B74" s="182" t="s">
        <v>585</v>
      </c>
      <c r="C74" s="182">
        <f>INDEX('蒸散（ドライミスト）2'!P:P,MATCH('蒸散（ドライミスト）1'!B74,'蒸散（ドライミスト）2'!C:C,0),1)</f>
        <v>5.8884966722095227</v>
      </c>
      <c r="D74" s="182">
        <v>60</v>
      </c>
      <c r="F74" s="322" t="s">
        <v>118</v>
      </c>
      <c r="G74" s="323">
        <v>122.69500000000001</v>
      </c>
      <c r="H74" s="319"/>
    </row>
    <row r="75" spans="1:8">
      <c r="A75" s="182" t="s">
        <v>341</v>
      </c>
      <c r="B75" s="182" t="s">
        <v>341</v>
      </c>
      <c r="C75" s="182">
        <f>INDEX('蒸散（ドライミスト）2'!P:P,MATCH('蒸散（ドライミスト）1'!B75,'蒸散（ドライミスト）2'!C:C,0),1)</f>
        <v>6.2846193737340883</v>
      </c>
      <c r="D75" s="182">
        <v>60</v>
      </c>
      <c r="F75" s="322" t="s">
        <v>130</v>
      </c>
      <c r="G75" s="323">
        <v>119.01500000000001</v>
      </c>
      <c r="H75" s="319"/>
    </row>
    <row r="76" spans="1:8">
      <c r="A76" s="182" t="s">
        <v>586</v>
      </c>
      <c r="B76" s="182" t="s">
        <v>340</v>
      </c>
      <c r="C76" s="182">
        <f>INDEX('蒸散（ドライミスト）2'!P:P,MATCH('蒸散（ドライミスト）1'!B76,'蒸散（ドライミスト）2'!C:C,0),1)</f>
        <v>5.5164302511849153</v>
      </c>
      <c r="D76" s="182">
        <v>60</v>
      </c>
      <c r="F76" s="322" t="s">
        <v>129</v>
      </c>
      <c r="G76" s="323">
        <v>113.25999999999999</v>
      </c>
      <c r="H76" s="319"/>
    </row>
    <row r="77" spans="1:8">
      <c r="A77" s="182" t="s">
        <v>586</v>
      </c>
      <c r="B77" s="182" t="s">
        <v>587</v>
      </c>
      <c r="C77" s="182">
        <f>INDEX('蒸散（ドライミスト）2'!P:P,MATCH('蒸散（ドライミスト）1'!B77,'蒸散（ドライミスト）2'!C:C,0),1)</f>
        <v>5.8580429674298502</v>
      </c>
      <c r="D77" s="182">
        <v>60</v>
      </c>
      <c r="F77" s="324" t="s">
        <v>987</v>
      </c>
      <c r="G77" s="323">
        <v>109.74000000000001</v>
      </c>
      <c r="H77" s="319"/>
    </row>
    <row r="78" spans="1:8">
      <c r="A78" s="182" t="s">
        <v>586</v>
      </c>
      <c r="B78" s="182" t="s">
        <v>588</v>
      </c>
      <c r="C78" s="182">
        <f>INDEX('蒸散（ドライミスト）2'!P:P,MATCH('蒸散（ドライミスト）1'!B78,'蒸散（ドライミスト）2'!C:C,0),1)</f>
        <v>6.6240531203403661</v>
      </c>
      <c r="D78" s="182">
        <v>60</v>
      </c>
      <c r="F78" s="322" t="s">
        <v>126</v>
      </c>
      <c r="G78" s="323">
        <v>106.63</v>
      </c>
      <c r="H78" s="319"/>
    </row>
    <row r="79" spans="1:8">
      <c r="A79" s="182" t="s">
        <v>586</v>
      </c>
      <c r="B79" s="182" t="s">
        <v>589</v>
      </c>
      <c r="C79" s="182">
        <f>INDEX('蒸散（ドライミスト）2'!P:P,MATCH('蒸散（ドライミスト）1'!B79,'蒸散（ドライミスト）2'!C:C,0),1)</f>
        <v>5.5719538641053061</v>
      </c>
      <c r="D79" s="182">
        <v>60</v>
      </c>
      <c r="F79" s="322" t="s">
        <v>121</v>
      </c>
      <c r="G79" s="323">
        <v>102.14500000000001</v>
      </c>
      <c r="H79" s="319"/>
    </row>
    <row r="80" spans="1:8">
      <c r="A80" s="182" t="s">
        <v>586</v>
      </c>
      <c r="B80" s="182" t="s">
        <v>345</v>
      </c>
      <c r="C80" s="182">
        <f>INDEX('蒸散（ドライミスト）2'!P:P,MATCH('蒸散（ドライミスト）1'!B80,'蒸散（ドライミスト）2'!C:C,0),1)</f>
        <v>6.3944552776808061</v>
      </c>
      <c r="D80" s="182">
        <v>60</v>
      </c>
    </row>
    <row r="81" spans="1:4">
      <c r="A81" s="182" t="s">
        <v>590</v>
      </c>
      <c r="B81" s="182" t="s">
        <v>346</v>
      </c>
      <c r="C81" s="182">
        <f>INDEX('蒸散（ドライミスト）2'!P:P,MATCH('蒸散（ドライミスト）1'!B81,'蒸散（ドライミスト）2'!C:C,0),1)</f>
        <v>5.5292783062844588</v>
      </c>
      <c r="D81" s="182">
        <v>60</v>
      </c>
    </row>
    <row r="82" spans="1:4">
      <c r="A82" s="182" t="s">
        <v>590</v>
      </c>
      <c r="B82" s="182" t="s">
        <v>591</v>
      </c>
      <c r="C82" s="182">
        <f>INDEX('蒸散（ドライミスト）2'!P:P,MATCH('蒸散（ドライミスト）1'!B82,'蒸散（ドライミスト）2'!C:C,0),1)</f>
        <v>6.7592874438057553</v>
      </c>
      <c r="D82" s="182">
        <v>60</v>
      </c>
    </row>
    <row r="83" spans="1:4">
      <c r="A83" s="182" t="s">
        <v>592</v>
      </c>
      <c r="B83" s="182" t="s">
        <v>593</v>
      </c>
      <c r="C83" s="182">
        <f>INDEX('蒸散（ドライミスト）2'!P:P,MATCH('蒸散（ドライミスト）1'!B83,'蒸散（ドライミスト）2'!C:C,0),1)</f>
        <v>3.6070615718285381</v>
      </c>
      <c r="D83" s="182">
        <v>70</v>
      </c>
    </row>
    <row r="84" spans="1:4">
      <c r="A84" s="182" t="s">
        <v>592</v>
      </c>
      <c r="B84" s="182" t="s">
        <v>350</v>
      </c>
      <c r="C84" s="182">
        <f>INDEX('蒸散（ドライミスト）2'!P:P,MATCH('蒸散（ドライミスト）1'!B84,'蒸散（ドライミスト）2'!C:C,0),1)</f>
        <v>5.7797283771853891</v>
      </c>
      <c r="D84" s="182">
        <v>70</v>
      </c>
    </row>
    <row r="85" spans="1:4">
      <c r="A85" s="182" t="s">
        <v>592</v>
      </c>
      <c r="B85" s="182" t="s">
        <v>352</v>
      </c>
      <c r="C85" s="182">
        <f>INDEX('蒸散（ドライミスト）2'!P:P,MATCH('蒸散（ドライミスト）1'!B85,'蒸散（ドライミスト）2'!C:C,0),1)</f>
        <v>6.005398392353797</v>
      </c>
      <c r="D85" s="182">
        <v>70</v>
      </c>
    </row>
    <row r="86" spans="1:4">
      <c r="A86" s="182" t="s">
        <v>592</v>
      </c>
      <c r="B86" s="182" t="s">
        <v>594</v>
      </c>
      <c r="C86" s="182">
        <f>INDEX('蒸散（ドライミスト）2'!P:P,MATCH('蒸散（ドライミスト）1'!B86,'蒸散（ドライミスト）2'!C:C,0),1)</f>
        <v>5.30723561859703</v>
      </c>
      <c r="D86" s="182">
        <v>70</v>
      </c>
    </row>
    <row r="87" spans="1:4">
      <c r="A87" s="182" t="s">
        <v>356</v>
      </c>
      <c r="B87" s="182" t="s">
        <v>595</v>
      </c>
      <c r="C87" s="182">
        <f>INDEX('蒸散（ドライミスト）2'!P:P,MATCH('蒸散（ドライミスト）1'!B87,'蒸散（ドライミスト）2'!C:C,0),1)</f>
        <v>6.0503085776196199</v>
      </c>
      <c r="D87" s="182">
        <v>70</v>
      </c>
    </row>
    <row r="88" spans="1:4">
      <c r="A88" s="182" t="s">
        <v>596</v>
      </c>
      <c r="B88" s="182" t="s">
        <v>359</v>
      </c>
      <c r="C88" s="182">
        <f>INDEX('蒸散（ドライミスト）2'!P:P,MATCH('蒸散（ドライミスト）1'!B88,'蒸散（ドライミスト）2'!C:C,0),1)</f>
        <v>2.9006145125330853</v>
      </c>
      <c r="D88" s="182">
        <v>70</v>
      </c>
    </row>
    <row r="89" spans="1:4">
      <c r="A89" s="182" t="s">
        <v>596</v>
      </c>
      <c r="B89" s="182" t="s">
        <v>597</v>
      </c>
      <c r="C89" s="182">
        <f>INDEX('蒸散（ドライミスト）2'!P:P,MATCH('蒸散（ドライミスト）1'!B89,'蒸散（ドライミスト）2'!C:C,0),1)</f>
        <v>6.4442231522850264</v>
      </c>
      <c r="D89" s="182">
        <v>70</v>
      </c>
    </row>
    <row r="90" spans="1:4">
      <c r="A90" s="182" t="s">
        <v>598</v>
      </c>
      <c r="B90" s="182" t="s">
        <v>598</v>
      </c>
      <c r="C90" s="182">
        <f>INDEX('蒸散（ドライミスト）2'!P:P,MATCH('蒸散（ドライミスト）1'!B90,'蒸散（ドライミスト）2'!C:C,0),1)</f>
        <v>7.2651331052440939</v>
      </c>
      <c r="D90" s="182">
        <v>70</v>
      </c>
    </row>
    <row r="91" spans="1:4">
      <c r="A91" s="182" t="s">
        <v>599</v>
      </c>
      <c r="B91" s="182" t="s">
        <v>365</v>
      </c>
      <c r="C91" s="182">
        <f>INDEX('蒸散（ドライミスト）2'!P:P,MATCH('蒸散（ドライミスト）1'!B91,'蒸散（ドライミスト）2'!C:C,0),1)</f>
        <v>3.7426155290511312</v>
      </c>
      <c r="D91" s="182">
        <v>70</v>
      </c>
    </row>
    <row r="92" spans="1:4">
      <c r="A92" s="182" t="s">
        <v>599</v>
      </c>
      <c r="B92" s="182" t="s">
        <v>361</v>
      </c>
      <c r="C92" s="182">
        <f>INDEX('蒸散（ドライミスト）2'!P:P,MATCH('蒸散（ドライミスト）1'!B92,'蒸散（ドライミスト）2'!C:C,0),1)</f>
        <v>6.6856837187679758</v>
      </c>
      <c r="D92" s="182">
        <v>70</v>
      </c>
    </row>
    <row r="93" spans="1:4">
      <c r="A93" s="182" t="s">
        <v>599</v>
      </c>
      <c r="B93" s="182" t="s">
        <v>363</v>
      </c>
      <c r="C93" s="182">
        <f>INDEX('蒸散（ドライミスト）2'!P:P,MATCH('蒸散（ドライミスト）1'!B93,'蒸散（ドライミスト）2'!C:C,0),1)</f>
        <v>6.517412193066848</v>
      </c>
      <c r="D93" s="182">
        <v>70</v>
      </c>
    </row>
    <row r="94" spans="1:4">
      <c r="A94" s="182" t="s">
        <v>599</v>
      </c>
      <c r="B94" s="182" t="s">
        <v>600</v>
      </c>
      <c r="C94" s="182">
        <f>INDEX('蒸散（ドライミスト）2'!P:P,MATCH('蒸散（ドライミスト）1'!B94,'蒸散（ドライミスト）2'!C:C,0),1)</f>
        <v>5.8616473080148985</v>
      </c>
      <c r="D94" s="182">
        <v>70</v>
      </c>
    </row>
    <row r="95" spans="1:4">
      <c r="A95" s="182" t="s">
        <v>369</v>
      </c>
      <c r="B95" s="182" t="s">
        <v>369</v>
      </c>
      <c r="C95" s="182">
        <f>INDEX('蒸散（ドライミスト）2'!P:P,MATCH('蒸散（ドライミスト）1'!B95,'蒸散（ドライミスト）2'!C:C,0),1)</f>
        <v>6.1489528261779371</v>
      </c>
      <c r="D95" s="182">
        <v>70</v>
      </c>
    </row>
    <row r="96" spans="1:4">
      <c r="A96" s="182" t="s">
        <v>601</v>
      </c>
      <c r="B96" s="182" t="s">
        <v>370</v>
      </c>
      <c r="C96" s="182">
        <f>INDEX('蒸散（ドライミスト）2'!P:P,MATCH('蒸散（ドライミスト）1'!B96,'蒸散（ドライミスト）2'!C:C,0),1)</f>
        <v>3.6688623143512378</v>
      </c>
      <c r="D96" s="182">
        <v>70</v>
      </c>
    </row>
    <row r="97" spans="1:4">
      <c r="A97" s="182" t="s">
        <v>601</v>
      </c>
      <c r="B97" s="182" t="s">
        <v>371</v>
      </c>
      <c r="C97" s="182">
        <f>INDEX('蒸散（ドライミスト）2'!P:P,MATCH('蒸散（ドライミスト）1'!B97,'蒸散（ドライミスト）2'!C:C,0),1)</f>
        <v>6.1283377244739139</v>
      </c>
      <c r="D97" s="182">
        <v>70</v>
      </c>
    </row>
    <row r="98" spans="1:4">
      <c r="A98" s="182" t="s">
        <v>602</v>
      </c>
      <c r="B98" s="182" t="s">
        <v>372</v>
      </c>
      <c r="C98" s="182">
        <f>INDEX('蒸散（ドライミスト）2'!P:P,MATCH('蒸散（ドライミスト）1'!B98,'蒸散（ドライミスト）2'!C:C,0),1)</f>
        <v>5.872365276307951</v>
      </c>
      <c r="D98" s="182">
        <v>70</v>
      </c>
    </row>
    <row r="99" spans="1:4">
      <c r="A99" s="182" t="s">
        <v>602</v>
      </c>
      <c r="B99" s="182" t="s">
        <v>373</v>
      </c>
      <c r="C99" s="182">
        <f>INDEX('蒸散（ドライミスト）2'!P:P,MATCH('蒸散（ドライミスト）1'!B99,'蒸散（ドライミスト）2'!C:C,0),1)</f>
        <v>6.7320454117394952</v>
      </c>
      <c r="D99" s="182">
        <v>70</v>
      </c>
    </row>
    <row r="100" spans="1:4">
      <c r="A100" s="182" t="s">
        <v>602</v>
      </c>
      <c r="B100" s="182" t="s">
        <v>374</v>
      </c>
      <c r="C100" s="182">
        <f>INDEX('蒸散（ドライミスト）2'!P:P,MATCH('蒸散（ドライミスト）1'!B100,'蒸散（ドライミスト）2'!C:C,0),1)</f>
        <v>6.2250880997260687</v>
      </c>
      <c r="D100" s="182">
        <v>70</v>
      </c>
    </row>
    <row r="101" spans="1:4">
      <c r="A101" s="182" t="s">
        <v>602</v>
      </c>
      <c r="B101" s="182" t="s">
        <v>603</v>
      </c>
      <c r="C101" s="182">
        <f>INDEX('蒸散（ドライミスト）2'!P:P,MATCH('蒸散（ドライミスト）1'!B101,'蒸散（ドライミスト）2'!C:C,0),1)</f>
        <v>5.2091713413640104</v>
      </c>
      <c r="D101" s="182">
        <v>70</v>
      </c>
    </row>
    <row r="102" spans="1:4">
      <c r="A102" s="182" t="s">
        <v>602</v>
      </c>
      <c r="B102" s="182" t="s">
        <v>604</v>
      </c>
      <c r="C102" s="182">
        <f>INDEX('蒸散（ドライミスト）2'!P:P,MATCH('蒸散（ドライミスト）1'!B102,'蒸散（ドライミスト）2'!C:C,0),1)</f>
        <v>5.7241468906347643</v>
      </c>
      <c r="D102" s="182">
        <v>70</v>
      </c>
    </row>
    <row r="103" spans="1:4">
      <c r="A103" s="182" t="s">
        <v>375</v>
      </c>
      <c r="B103" s="182" t="s">
        <v>376</v>
      </c>
      <c r="C103" s="182">
        <f>INDEX('蒸散（ドライミスト）2'!P:P,MATCH('蒸散（ドライミスト）1'!B103,'蒸散（ドライミスト）2'!C:C,0),1)</f>
        <v>5.5552548527577024</v>
      </c>
      <c r="D103" s="182">
        <v>70</v>
      </c>
    </row>
    <row r="104" spans="1:4">
      <c r="A104" s="182" t="s">
        <v>380</v>
      </c>
      <c r="B104" s="182" t="s">
        <v>381</v>
      </c>
      <c r="C104" s="182">
        <f>INDEX('蒸散（ドライミスト）2'!P:P,MATCH('蒸散（ドライミスト）1'!B104,'蒸散（ドライミスト）2'!C:C,0),1)</f>
        <v>3.5642771696976965</v>
      </c>
      <c r="D104" s="182">
        <v>70</v>
      </c>
    </row>
    <row r="105" spans="1:4">
      <c r="A105" s="182" t="s">
        <v>380</v>
      </c>
      <c r="B105" s="182" t="s">
        <v>379</v>
      </c>
      <c r="C105" s="182">
        <f>INDEX('蒸散（ドライミスト）2'!P:P,MATCH('蒸散（ドライミスト）1'!B105,'蒸散（ドライミスト）2'!C:C,0),1)</f>
        <v>5.1612717569723481</v>
      </c>
      <c r="D105" s="182">
        <v>70</v>
      </c>
    </row>
    <row r="106" spans="1:4">
      <c r="A106" s="182" t="s">
        <v>382</v>
      </c>
      <c r="B106" s="182" t="s">
        <v>382</v>
      </c>
      <c r="C106" s="182">
        <f>INDEX('蒸散（ドライミスト）2'!P:P,MATCH('蒸散（ドライミスト）1'!B106,'蒸散（ドライミスト）2'!C:C,0),1)</f>
        <v>5.5173354326236339</v>
      </c>
      <c r="D106" s="182">
        <v>70</v>
      </c>
    </row>
    <row r="107" spans="1:4">
      <c r="A107" s="182" t="s">
        <v>605</v>
      </c>
      <c r="B107" s="182" t="s">
        <v>383</v>
      </c>
      <c r="C107" s="182">
        <f>INDEX('蒸散（ドライミスト）2'!P:P,MATCH('蒸散（ドライミスト）1'!B107,'蒸散（ドライミスト）2'!C:C,0),1)</f>
        <v>6.884388032574293</v>
      </c>
      <c r="D107" s="182">
        <v>70</v>
      </c>
    </row>
    <row r="108" spans="1:4">
      <c r="A108" s="182" t="s">
        <v>605</v>
      </c>
      <c r="B108" s="182" t="s">
        <v>606</v>
      </c>
      <c r="C108" s="182">
        <f>INDEX('蒸散（ドライミスト）2'!P:P,MATCH('蒸散（ドライミスト）1'!B108,'蒸散（ドライミスト）2'!C:C,0),1)</f>
        <v>6.0008827954497876</v>
      </c>
      <c r="D108" s="182">
        <v>70</v>
      </c>
    </row>
    <row r="109" spans="1:4">
      <c r="A109" s="182" t="s">
        <v>386</v>
      </c>
      <c r="B109" s="182" t="s">
        <v>387</v>
      </c>
      <c r="C109" s="182">
        <f>INDEX('蒸散（ドライミスト）2'!P:P,MATCH('蒸散（ドライミスト）1'!B109,'蒸散（ドライミスト）2'!C:C,0),1)</f>
        <v>5.2061667942489045</v>
      </c>
      <c r="D109" s="182">
        <v>70</v>
      </c>
    </row>
    <row r="110" spans="1:4">
      <c r="A110" s="182" t="s">
        <v>386</v>
      </c>
      <c r="B110" s="182" t="s">
        <v>385</v>
      </c>
      <c r="C110" s="182">
        <f>INDEX('蒸散（ドライミスト）2'!P:P,MATCH('蒸散（ドライミスト）1'!B110,'蒸散（ドライミスト）2'!C:C,0),1)</f>
        <v>5.3831635061462926</v>
      </c>
      <c r="D110" s="182">
        <v>70</v>
      </c>
    </row>
    <row r="111" spans="1:4">
      <c r="A111" s="182" t="s">
        <v>386</v>
      </c>
      <c r="B111" s="182" t="s">
        <v>388</v>
      </c>
      <c r="C111" s="182">
        <f>INDEX('蒸散（ドライミスト）2'!P:P,MATCH('蒸散（ドライミスト）1'!B111,'蒸散（ドライミスト）2'!C:C,0),1)</f>
        <v>6.29954730890144</v>
      </c>
      <c r="D111" s="182">
        <v>70</v>
      </c>
    </row>
    <row r="112" spans="1:4">
      <c r="A112" s="182" t="s">
        <v>390</v>
      </c>
      <c r="B112" s="182" t="s">
        <v>389</v>
      </c>
      <c r="C112" s="182">
        <f>INDEX('蒸散（ドライミスト）2'!P:P,MATCH('蒸散（ドライミスト）1'!B112,'蒸散（ドライミスト）2'!C:C,0),1)</f>
        <v>3.5951131990848282</v>
      </c>
      <c r="D112" s="182">
        <v>70</v>
      </c>
    </row>
    <row r="113" spans="1:4">
      <c r="A113" s="182" t="s">
        <v>392</v>
      </c>
      <c r="B113" s="182" t="s">
        <v>393</v>
      </c>
      <c r="C113" s="182">
        <f>INDEX('蒸散（ドライミスト）2'!P:P,MATCH('蒸散（ドライミスト）1'!B113,'蒸散（ドライミスト）2'!C:C,0),1)</f>
        <v>5.9955205504763418</v>
      </c>
      <c r="D113" s="182">
        <v>70</v>
      </c>
    </row>
    <row r="114" spans="1:4">
      <c r="A114" s="182" t="s">
        <v>392</v>
      </c>
      <c r="B114" s="182" t="s">
        <v>607</v>
      </c>
      <c r="C114" s="182">
        <f>INDEX('蒸散（ドライミスト）2'!P:P,MATCH('蒸散（ドライミスト）1'!B114,'蒸散（ドライミスト）2'!C:C,0),1)</f>
        <v>5.3148419963207978</v>
      </c>
      <c r="D114" s="182">
        <v>70</v>
      </c>
    </row>
    <row r="115" spans="1:4">
      <c r="A115" s="182" t="s">
        <v>395</v>
      </c>
      <c r="B115" s="182" t="s">
        <v>394</v>
      </c>
      <c r="C115" s="182">
        <f>INDEX('蒸散（ドライミスト）2'!P:P,MATCH('蒸散（ドライミスト）1'!B115,'蒸散（ドライミスト）2'!C:C,0),1)</f>
        <v>6.1324968009043452</v>
      </c>
      <c r="D115" s="182">
        <v>70</v>
      </c>
    </row>
    <row r="116" spans="1:4">
      <c r="A116" s="182" t="s">
        <v>395</v>
      </c>
      <c r="B116" s="182" t="s">
        <v>396</v>
      </c>
      <c r="C116" s="182">
        <f>INDEX('蒸散（ドライミスト）2'!P:P,MATCH('蒸散（ドライミスト）1'!B116,'蒸散（ドライミスト）2'!C:C,0),1)</f>
        <v>6.4970601996063344</v>
      </c>
      <c r="D116" s="182">
        <v>70</v>
      </c>
    </row>
    <row r="117" spans="1:4">
      <c r="A117" s="182" t="s">
        <v>397</v>
      </c>
      <c r="B117" s="182" t="s">
        <v>397</v>
      </c>
      <c r="C117" s="182">
        <f>INDEX('蒸散（ドライミスト）2'!P:P,MATCH('蒸散（ドライミスト）1'!B117,'蒸散（ドライミスト）2'!C:C,0),1)</f>
        <v>5.3641655481781543</v>
      </c>
      <c r="D117" s="182">
        <v>70</v>
      </c>
    </row>
    <row r="118" spans="1:4">
      <c r="A118" s="182" t="s">
        <v>398</v>
      </c>
      <c r="B118" s="182" t="s">
        <v>608</v>
      </c>
      <c r="C118" s="182">
        <f>INDEX('蒸散（ドライミスト）2'!P:P,MATCH('蒸散（ドライミスト）1'!B118,'蒸散（ドライミスト）2'!C:C,0),1)</f>
        <v>4.7938395043735991</v>
      </c>
      <c r="D118" s="182">
        <v>70</v>
      </c>
    </row>
    <row r="119" spans="1:4">
      <c r="A119" s="182" t="s">
        <v>398</v>
      </c>
      <c r="B119" s="182" t="s">
        <v>609</v>
      </c>
      <c r="C119" s="182">
        <f>INDEX('蒸散（ドライミスト）2'!P:P,MATCH('蒸散（ドライミスト）1'!B119,'蒸散（ドライミスト）2'!C:C,0),1)</f>
        <v>6.1603682077654067</v>
      </c>
      <c r="D119" s="182">
        <v>70</v>
      </c>
    </row>
    <row r="120" spans="1:4">
      <c r="A120" s="182" t="s">
        <v>398</v>
      </c>
      <c r="B120" s="182" t="s">
        <v>610</v>
      </c>
      <c r="C120" s="182">
        <f>INDEX('蒸散（ドライミスト）2'!P:P,MATCH('蒸散（ドライミスト）1'!B120,'蒸散（ドライミスト）2'!C:C,0),1)</f>
        <v>5.6844294702831295</v>
      </c>
      <c r="D120" s="182">
        <v>70</v>
      </c>
    </row>
    <row r="121" spans="1:4">
      <c r="A121" s="182" t="s">
        <v>611</v>
      </c>
      <c r="B121" s="182" t="s">
        <v>611</v>
      </c>
      <c r="C121" s="182">
        <f>INDEX('蒸散（ドライミスト）2'!P:P,MATCH('蒸散（ドライミスト）1'!B121,'蒸散（ドライミスト）2'!C:C,0),1)</f>
        <v>6.2820944222279334</v>
      </c>
      <c r="D121" s="182">
        <v>70</v>
      </c>
    </row>
    <row r="122" spans="1:4">
      <c r="A122" s="182" t="s">
        <v>402</v>
      </c>
      <c r="B122" s="182" t="s">
        <v>612</v>
      </c>
      <c r="C122" s="182">
        <f>INDEX('蒸散（ドライミスト）2'!P:P,MATCH('蒸散（ドライミスト）1'!B122,'蒸散（ドライミスト）2'!C:C,0),1)</f>
        <v>6.0550340309812327</v>
      </c>
      <c r="D122" s="182">
        <v>70</v>
      </c>
    </row>
    <row r="123" spans="1:4">
      <c r="A123" s="182" t="s">
        <v>613</v>
      </c>
      <c r="B123" s="182" t="s">
        <v>613</v>
      </c>
      <c r="C123" s="182">
        <f>INDEX('蒸散（ドライミスト）2'!P:P,MATCH('蒸散（ドライミスト）1'!B123,'蒸散（ドライミスト）2'!C:C,0),1)</f>
        <v>5.0023078490181474</v>
      </c>
      <c r="D123" s="182">
        <v>70</v>
      </c>
    </row>
    <row r="124" spans="1:4">
      <c r="A124" s="182" t="s">
        <v>614</v>
      </c>
      <c r="B124" s="182" t="s">
        <v>614</v>
      </c>
      <c r="C124" s="182">
        <f>INDEX('蒸散（ドライミスト）2'!P:P,MATCH('蒸散（ドライミスト）1'!B124,'蒸散（ドライミスト）2'!C:C,0),1)</f>
        <v>5.9420842799302278</v>
      </c>
      <c r="D124" s="182">
        <v>70</v>
      </c>
    </row>
    <row r="125" spans="1:4">
      <c r="A125" s="182" t="s">
        <v>406</v>
      </c>
      <c r="B125" s="182" t="s">
        <v>615</v>
      </c>
      <c r="C125" s="182">
        <f>INDEX('蒸散（ドライミスト）2'!P:P,MATCH('蒸散（ドライミスト）1'!B125,'蒸散（ドライミスト）2'!C:C,0),1)</f>
        <v>5.2435151142378436</v>
      </c>
      <c r="D125" s="182">
        <v>70</v>
      </c>
    </row>
    <row r="126" spans="1:4">
      <c r="A126" s="182" t="s">
        <v>406</v>
      </c>
      <c r="B126" s="182" t="s">
        <v>616</v>
      </c>
      <c r="C126" s="182">
        <f>INDEX('蒸散（ドライミスト）2'!P:P,MATCH('蒸散（ドライミスト）1'!B126,'蒸散（ドライミスト）2'!C:C,0),1)</f>
        <v>4.8473770971523855</v>
      </c>
      <c r="D126" s="182">
        <v>70</v>
      </c>
    </row>
    <row r="127" spans="1:4">
      <c r="A127" s="182" t="s">
        <v>406</v>
      </c>
      <c r="B127" s="182" t="s">
        <v>617</v>
      </c>
      <c r="C127" s="182">
        <f>INDEX('蒸散（ドライミスト）2'!P:P,MATCH('蒸散（ドライミスト）1'!B127,'蒸散（ドライミスト）2'!C:C,0),1)</f>
        <v>5.6447095007481565</v>
      </c>
      <c r="D127" s="182">
        <v>70</v>
      </c>
    </row>
    <row r="128" spans="1:4">
      <c r="A128" s="182" t="s">
        <v>406</v>
      </c>
      <c r="B128" s="182" t="s">
        <v>618</v>
      </c>
      <c r="C128" s="182">
        <f>INDEX('蒸散（ドライミスト）2'!P:P,MATCH('蒸散（ドライミスト）1'!B128,'蒸散（ドライミスト）2'!C:C,0),1)</f>
        <v>6.8718742281614524</v>
      </c>
      <c r="D128" s="182">
        <v>70</v>
      </c>
    </row>
    <row r="129" spans="1:4">
      <c r="A129" s="182" t="s">
        <v>406</v>
      </c>
      <c r="B129" s="182" t="s">
        <v>619</v>
      </c>
      <c r="C129" s="182">
        <f>INDEX('蒸散（ドライミスト）2'!P:P,MATCH('蒸散（ドライミスト）1'!B129,'蒸散（ドライミスト）2'!C:C,0),1)</f>
        <v>3.9103889630355413</v>
      </c>
      <c r="D129" s="182">
        <v>70</v>
      </c>
    </row>
    <row r="130" spans="1:4">
      <c r="A130" s="182" t="s">
        <v>406</v>
      </c>
      <c r="B130" s="182" t="s">
        <v>620</v>
      </c>
      <c r="C130" s="182">
        <f>INDEX('蒸散（ドライミスト）2'!P:P,MATCH('蒸散（ドライミスト）1'!B130,'蒸散（ドライミスト）2'!C:C,0),1)</f>
        <v>6.1954256379577473</v>
      </c>
      <c r="D130" s="182">
        <v>70</v>
      </c>
    </row>
    <row r="131" spans="1:4">
      <c r="A131" s="182" t="s">
        <v>621</v>
      </c>
      <c r="B131" s="182" t="s">
        <v>621</v>
      </c>
      <c r="C131" s="182">
        <f>INDEX('蒸散（ドライミスト）2'!P:P,MATCH('蒸散（ドライミスト）1'!B131,'蒸散（ドライミスト）2'!C:C,0),1)</f>
        <v>5.4140722472324008</v>
      </c>
      <c r="D131" s="182">
        <v>70</v>
      </c>
    </row>
    <row r="132" spans="1:4">
      <c r="A132" s="182" t="s">
        <v>622</v>
      </c>
      <c r="B132" s="182" t="s">
        <v>623</v>
      </c>
      <c r="C132" s="182">
        <f>INDEX('蒸散（ドライミスト）2'!P:P,MATCH('蒸散（ドライミスト）1'!B132,'蒸散（ドライミスト）2'!C:C,0),1)</f>
        <v>6.0506871802068654</v>
      </c>
      <c r="D132" s="182">
        <v>70</v>
      </c>
    </row>
    <row r="133" spans="1:4">
      <c r="A133" s="182" t="s">
        <v>624</v>
      </c>
      <c r="B133" s="182" t="s">
        <v>624</v>
      </c>
      <c r="C133" s="182">
        <f>INDEX('蒸散（ドライミスト）2'!P:P,MATCH('蒸散（ドライミスト）1'!B133,'蒸散（ドライミスト）2'!C:C,0),1)</f>
        <v>6.1367793402194613</v>
      </c>
      <c r="D133" s="182">
        <v>70</v>
      </c>
    </row>
    <row r="134" spans="1:4">
      <c r="A134" s="182" t="s">
        <v>412</v>
      </c>
      <c r="B134" s="182" t="s">
        <v>625</v>
      </c>
      <c r="C134" s="182">
        <f>INDEX('蒸散（ドライミスト）2'!P:P,MATCH('蒸散（ドライミスト）1'!B134,'蒸散（ドライミスト）2'!C:C,0),1)</f>
        <v>5.1156413491791639</v>
      </c>
      <c r="D134" s="182">
        <v>70</v>
      </c>
    </row>
    <row r="135" spans="1:4">
      <c r="A135" s="182" t="s">
        <v>412</v>
      </c>
      <c r="B135" s="182" t="s">
        <v>626</v>
      </c>
      <c r="C135" s="182">
        <f>INDEX('蒸散（ドライミスト）2'!P:P,MATCH('蒸散（ドライミスト）1'!B135,'蒸散（ドライミスト）2'!C:C,0),1)</f>
        <v>6.292836521226616</v>
      </c>
      <c r="D135" s="182">
        <v>70</v>
      </c>
    </row>
    <row r="136" spans="1:4">
      <c r="A136" s="182" t="s">
        <v>412</v>
      </c>
      <c r="B136" s="182" t="s">
        <v>627</v>
      </c>
      <c r="C136" s="182">
        <f>INDEX('蒸散（ドライミスト）2'!P:P,MATCH('蒸散（ドライミスト）1'!B136,'蒸散（ドライミスト）2'!C:C,0),1)</f>
        <v>5.8094515569699645</v>
      </c>
      <c r="D136" s="182">
        <v>70</v>
      </c>
    </row>
    <row r="137" spans="1:4">
      <c r="A137" s="182" t="s">
        <v>419</v>
      </c>
      <c r="B137" s="182" t="s">
        <v>419</v>
      </c>
      <c r="C137" s="182">
        <f>INDEX('蒸散（ドライミスト）2'!P:P,MATCH('蒸散（ドライミスト）1'!B137,'蒸散（ドライミスト）2'!C:C,0),1)</f>
        <v>5.473766706829986</v>
      </c>
      <c r="D137" s="182">
        <v>70</v>
      </c>
    </row>
    <row r="138" spans="1:4">
      <c r="A138" s="182" t="s">
        <v>628</v>
      </c>
      <c r="B138" s="182" t="s">
        <v>418</v>
      </c>
      <c r="C138" s="182">
        <f>INDEX('蒸散（ドライミスト）2'!P:P,MATCH('蒸散（ドライミスト）1'!B138,'蒸散（ドライミスト）2'!C:C,0),1)</f>
        <v>5.0374474087778331</v>
      </c>
      <c r="D138" s="182">
        <v>70</v>
      </c>
    </row>
    <row r="139" spans="1:4">
      <c r="A139" s="182" t="s">
        <v>628</v>
      </c>
      <c r="B139" s="182" t="s">
        <v>629</v>
      </c>
      <c r="C139" s="182">
        <f>INDEX('蒸散（ドライミスト）2'!P:P,MATCH('蒸散（ドライミスト）1'!B139,'蒸散（ドライミスト）2'!C:C,0),1)</f>
        <v>5.5955559416768814</v>
      </c>
      <c r="D139" s="182">
        <v>70</v>
      </c>
    </row>
    <row r="140" spans="1:4">
      <c r="A140" s="182" t="s">
        <v>628</v>
      </c>
      <c r="B140" s="182" t="s">
        <v>630</v>
      </c>
      <c r="C140" s="182">
        <f>INDEX('蒸散（ドライミスト）2'!P:P,MATCH('蒸散（ドライミスト）1'!B140,'蒸散（ドライミスト）2'!C:C,0),1)</f>
        <v>5.3978882080115218</v>
      </c>
      <c r="D140" s="182">
        <v>70</v>
      </c>
    </row>
    <row r="141" spans="1:4">
      <c r="A141" s="182" t="s">
        <v>631</v>
      </c>
      <c r="B141" s="182" t="s">
        <v>631</v>
      </c>
      <c r="C141" s="182">
        <f>INDEX('蒸散（ドライミスト）2'!P:P,MATCH('蒸散（ドライミスト）1'!B141,'蒸散（ドライミスト）2'!C:C,0),1)</f>
        <v>6.8542405944883233</v>
      </c>
      <c r="D141" s="182">
        <v>70</v>
      </c>
    </row>
    <row r="142" spans="1:4">
      <c r="A142" s="182" t="s">
        <v>631</v>
      </c>
      <c r="B142" s="182" t="s">
        <v>632</v>
      </c>
      <c r="C142" s="182">
        <f>INDEX('蒸散（ドライミスト）2'!P:P,MATCH('蒸散（ドライミスト）1'!B142,'蒸散（ドライミスト）2'!C:C,0),1)</f>
        <v>5.6859441520486911</v>
      </c>
      <c r="D142" s="182">
        <v>70</v>
      </c>
    </row>
    <row r="143" spans="1:4">
      <c r="A143" s="182" t="s">
        <v>633</v>
      </c>
      <c r="B143" s="182" t="s">
        <v>634</v>
      </c>
      <c r="C143" s="182">
        <f>INDEX('蒸散（ドライミスト）2'!P:P,MATCH('蒸散（ドライミスト）1'!B143,'蒸散（ドライミスト）2'!C:C,0),1)</f>
        <v>6.0456047505519042</v>
      </c>
      <c r="D143" s="182">
        <v>70</v>
      </c>
    </row>
    <row r="144" spans="1:4">
      <c r="A144" s="182" t="s">
        <v>633</v>
      </c>
      <c r="B144" s="182" t="s">
        <v>424</v>
      </c>
      <c r="C144" s="182">
        <f>INDEX('蒸散（ドライミスト）2'!P:P,MATCH('蒸散（ドライミスト）1'!B144,'蒸散（ドライミスト）2'!C:C,0),1)</f>
        <v>6.3019797957860328</v>
      </c>
      <c r="D144" s="182">
        <v>70</v>
      </c>
    </row>
    <row r="145" spans="1:4">
      <c r="A145" s="182" t="s">
        <v>633</v>
      </c>
      <c r="B145" s="182" t="s">
        <v>635</v>
      </c>
      <c r="C145" s="182">
        <f>INDEX('蒸散（ドライミスト）2'!P:P,MATCH('蒸散（ドライミスト）1'!B145,'蒸散（ドライミスト）2'!C:C,0),1)</f>
        <v>6.8785970120081448</v>
      </c>
      <c r="D145" s="182">
        <v>70</v>
      </c>
    </row>
    <row r="146" spans="1:4">
      <c r="A146" s="182" t="s">
        <v>633</v>
      </c>
      <c r="B146" s="182" t="s">
        <v>636</v>
      </c>
      <c r="C146" s="182">
        <f>INDEX('蒸散（ドライミスト）2'!P:P,MATCH('蒸散（ドライミスト）1'!B146,'蒸散（ドライミスト）2'!C:C,0),1)</f>
        <v>5.7394231003273681</v>
      </c>
      <c r="D146" s="182">
        <v>70</v>
      </c>
    </row>
    <row r="147" spans="1:4">
      <c r="A147" s="182" t="s">
        <v>633</v>
      </c>
      <c r="B147" s="182" t="s">
        <v>637</v>
      </c>
      <c r="C147" s="182">
        <f>INDEX('蒸散（ドライミスト）2'!P:P,MATCH('蒸散（ドライミスト）1'!B147,'蒸散（ドライミスト）2'!C:C,0),1)</f>
        <v>7.1728015307083748</v>
      </c>
      <c r="D147" s="182">
        <v>70</v>
      </c>
    </row>
    <row r="148" spans="1:4">
      <c r="A148" s="291" t="s">
        <v>1027</v>
      </c>
      <c r="B148" s="291" t="s">
        <v>1028</v>
      </c>
      <c r="C148" s="182">
        <f>INDEX('蒸散（ドライミスト）2'!P:P,MATCH('蒸散（ドライミスト）1'!B148,'蒸散（ドライミスト）2'!C:C,0),1)</f>
        <v>7.081595594315683</v>
      </c>
      <c r="D148" s="182">
        <v>90</v>
      </c>
    </row>
  </sheetData>
  <mergeCells count="9">
    <mergeCell ref="M1:N1"/>
    <mergeCell ref="P1:R1"/>
    <mergeCell ref="P6:P9"/>
    <mergeCell ref="I2:K2"/>
    <mergeCell ref="I3:K3"/>
    <mergeCell ref="I4:K4"/>
    <mergeCell ref="I5:K5"/>
    <mergeCell ref="I6:K6"/>
    <mergeCell ref="A1:K1"/>
  </mergeCells>
  <phoneticPr fontId="18"/>
  <hyperlinks>
    <hyperlink ref="I9" r:id="rId1"/>
    <hyperlink ref="I14" r:id="rId2"/>
    <hyperlink ref="I13" r:id="rId3"/>
  </hyperlinks>
  <pageMargins left="0.7" right="0.7" top="0.75" bottom="0.75" header="0.3" footer="0.3"/>
  <pageSetup paperSize="8" scale="53" fitToHeight="0" orientation="portrait" r:id="rId4"/>
  <drawing r:id="rId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00FF"/>
    <pageSetUpPr fitToPage="1"/>
  </sheetPr>
  <dimension ref="A1:V1753"/>
  <sheetViews>
    <sheetView zoomScale="84" zoomScaleNormal="84" workbookViewId="0">
      <pane ySplit="24" topLeftCell="A25" activePane="bottomLeft" state="frozen"/>
      <selection activeCell="R20" sqref="R20"/>
      <selection pane="bottomLeft" activeCell="R20" sqref="R20"/>
    </sheetView>
  </sheetViews>
  <sheetFormatPr defaultColWidth="9" defaultRowHeight="13.2"/>
  <cols>
    <col min="1" max="1" width="4.5" style="298" bestFit="1" customWidth="1"/>
    <col min="2" max="2" width="9" style="298"/>
    <col min="3" max="3" width="13.09765625" style="298" bestFit="1" customWidth="1"/>
    <col min="4" max="4" width="5.5" style="305" bestFit="1" customWidth="1"/>
    <col min="5" max="5" width="4.09765625" style="317" bestFit="1" customWidth="1"/>
    <col min="6" max="6" width="12.3984375" style="298" bestFit="1" customWidth="1"/>
    <col min="7" max="7" width="14.19921875" style="298" customWidth="1"/>
    <col min="8" max="8" width="14.3984375" style="298" bestFit="1" customWidth="1"/>
    <col min="9" max="9" width="9.8984375" style="298" bestFit="1" customWidth="1"/>
    <col min="10" max="10" width="16.3984375" style="298" bestFit="1" customWidth="1"/>
    <col min="11" max="11" width="17.09765625" style="298" bestFit="1" customWidth="1"/>
    <col min="12" max="12" width="12.69921875" style="298" bestFit="1" customWidth="1"/>
    <col min="13" max="13" width="29.8984375" style="298" bestFit="1" customWidth="1"/>
    <col min="14" max="14" width="13.8984375" style="298" bestFit="1" customWidth="1"/>
    <col min="15" max="15" width="12.69921875" style="298" bestFit="1" customWidth="1"/>
    <col min="16" max="16" width="16.5" style="298" customWidth="1"/>
    <col min="17" max="18" width="4" style="298" customWidth="1"/>
    <col min="19" max="19" width="16.09765625" style="298" bestFit="1" customWidth="1"/>
    <col min="20" max="16384" width="9" style="298"/>
  </cols>
  <sheetData>
    <row r="1" spans="1:22" s="293" customFormat="1" ht="26.4">
      <c r="A1" s="334"/>
      <c r="B1" s="334" t="s">
        <v>194</v>
      </c>
      <c r="C1" s="334" t="s">
        <v>501</v>
      </c>
      <c r="D1" s="335" t="s">
        <v>226</v>
      </c>
      <c r="E1" s="336" t="s">
        <v>225</v>
      </c>
      <c r="F1" s="334" t="s">
        <v>1033</v>
      </c>
      <c r="G1" s="334" t="s">
        <v>1034</v>
      </c>
      <c r="H1" s="334" t="s">
        <v>1035</v>
      </c>
      <c r="I1" s="334" t="s">
        <v>1036</v>
      </c>
      <c r="J1" s="334" t="s">
        <v>1037</v>
      </c>
      <c r="K1" s="334" t="s">
        <v>1038</v>
      </c>
      <c r="L1" s="334" t="s">
        <v>1039</v>
      </c>
      <c r="M1" s="334" t="s">
        <v>1071</v>
      </c>
      <c r="N1" s="334" t="s">
        <v>1040</v>
      </c>
      <c r="O1" s="334" t="s">
        <v>1069</v>
      </c>
      <c r="P1" s="334" t="s">
        <v>1070</v>
      </c>
    </row>
    <row r="2" spans="1:22">
      <c r="A2" s="294">
        <v>1</v>
      </c>
      <c r="B2" s="294" t="s">
        <v>254</v>
      </c>
      <c r="C2" s="294" t="s">
        <v>259</v>
      </c>
      <c r="D2" s="295" t="s">
        <v>1041</v>
      </c>
      <c r="E2" s="296">
        <v>1</v>
      </c>
      <c r="F2" s="294">
        <v>-5.0999999999999996</v>
      </c>
      <c r="G2" s="294">
        <v>5.5</v>
      </c>
      <c r="H2" s="294"/>
      <c r="I2" s="294">
        <v>0.92500000000000004</v>
      </c>
      <c r="J2" s="294">
        <v>-0.2</v>
      </c>
      <c r="K2" s="294">
        <f>2.5-0.024*F2</f>
        <v>2.6223999999999998</v>
      </c>
      <c r="L2" s="294">
        <f>1/(1.05+1.4*EXP(-0.0604*F2))</f>
        <v>0.33840288087021858</v>
      </c>
      <c r="M2" s="297">
        <f>$I$2*L2*(G2/K2)+$J$2</f>
        <v>0.4565072667889099</v>
      </c>
      <c r="N2" s="294">
        <v>0</v>
      </c>
      <c r="O2" s="294" t="str">
        <f t="shared" ref="O2:O65" si="0">IF(N2*M2=0,"",N2*M2)</f>
        <v/>
      </c>
      <c r="P2" s="294">
        <f>AVERAGE(O2:O13)</f>
        <v>5.3691170290018881</v>
      </c>
      <c r="S2" s="299"/>
    </row>
    <row r="3" spans="1:22">
      <c r="A3" s="294"/>
      <c r="B3" s="294" t="s">
        <v>254</v>
      </c>
      <c r="C3" s="294" t="s">
        <v>259</v>
      </c>
      <c r="D3" s="295" t="s">
        <v>1041</v>
      </c>
      <c r="E3" s="296">
        <v>2</v>
      </c>
      <c r="F3" s="294">
        <v>-4.0999999999999996</v>
      </c>
      <c r="G3" s="294">
        <v>9.5</v>
      </c>
      <c r="H3" s="294"/>
      <c r="I3" s="294"/>
      <c r="J3" s="294"/>
      <c r="K3" s="294">
        <f t="shared" ref="K3:K13" si="1">2.5-0.024*F3</f>
        <v>2.5983999999999998</v>
      </c>
      <c r="L3" s="294">
        <f t="shared" ref="L3:L13" si="2">1/(1.05+1.4*EXP(-0.0604*F3))</f>
        <v>0.35169186367610927</v>
      </c>
      <c r="M3" s="297">
        <f t="shared" ref="M3:M13" si="3">$I$2*L3*(G3/K3)+$J$2</f>
        <v>0.98938279404780283</v>
      </c>
      <c r="N3" s="294">
        <v>0</v>
      </c>
      <c r="O3" s="294" t="str">
        <f t="shared" si="0"/>
        <v/>
      </c>
      <c r="P3" s="294"/>
      <c r="R3" s="300" t="s">
        <v>1042</v>
      </c>
      <c r="S3" s="301"/>
      <c r="T3" s="301"/>
      <c r="U3" s="301"/>
      <c r="V3" s="301"/>
    </row>
    <row r="4" spans="1:22">
      <c r="A4" s="294"/>
      <c r="B4" s="294" t="s">
        <v>254</v>
      </c>
      <c r="C4" s="294" t="s">
        <v>259</v>
      </c>
      <c r="D4" s="295" t="s">
        <v>1041</v>
      </c>
      <c r="E4" s="296">
        <v>3</v>
      </c>
      <c r="F4" s="294">
        <v>1.7</v>
      </c>
      <c r="G4" s="294">
        <v>12.1</v>
      </c>
      <c r="H4" s="294"/>
      <c r="I4" s="294"/>
      <c r="J4" s="294"/>
      <c r="K4" s="294">
        <f t="shared" si="1"/>
        <v>2.4592000000000001</v>
      </c>
      <c r="L4" s="294">
        <f t="shared" si="2"/>
        <v>0.4322675669040601</v>
      </c>
      <c r="M4" s="297">
        <f>$I$2*L4*(G4/K4)+$J$2</f>
        <v>1.7673693650673767</v>
      </c>
      <c r="N4" s="294">
        <v>0</v>
      </c>
      <c r="O4" s="294" t="str">
        <f t="shared" si="0"/>
        <v/>
      </c>
      <c r="P4" s="294"/>
      <c r="R4" s="302" t="s">
        <v>1043</v>
      </c>
      <c r="S4" s="301"/>
      <c r="T4" s="300"/>
      <c r="U4" s="301"/>
      <c r="V4" s="301"/>
    </row>
    <row r="5" spans="1:22">
      <c r="A5" s="294"/>
      <c r="B5" s="294" t="s">
        <v>254</v>
      </c>
      <c r="C5" s="294" t="s">
        <v>259</v>
      </c>
      <c r="D5" s="295" t="s">
        <v>1041</v>
      </c>
      <c r="E5" s="296">
        <v>4</v>
      </c>
      <c r="F5" s="294">
        <v>7.2</v>
      </c>
      <c r="G5" s="294">
        <v>15.7</v>
      </c>
      <c r="H5" s="294"/>
      <c r="I5" s="294"/>
      <c r="J5" s="294"/>
      <c r="K5" s="294">
        <f>2.5-0.024*F5</f>
        <v>2.3271999999999999</v>
      </c>
      <c r="L5" s="294">
        <f t="shared" si="2"/>
        <v>0.51117445743276591</v>
      </c>
      <c r="M5" s="297">
        <f t="shared" si="3"/>
        <v>2.9898981858316183</v>
      </c>
      <c r="N5" s="294">
        <v>0</v>
      </c>
      <c r="O5" s="294" t="str">
        <f t="shared" si="0"/>
        <v/>
      </c>
      <c r="P5" s="294"/>
      <c r="R5" s="300" t="s">
        <v>1044</v>
      </c>
      <c r="S5" s="301"/>
      <c r="T5" s="301"/>
      <c r="U5" s="301"/>
      <c r="V5" s="301"/>
    </row>
    <row r="6" spans="1:22">
      <c r="A6" s="294"/>
      <c r="B6" s="294" t="s">
        <v>254</v>
      </c>
      <c r="C6" s="294" t="s">
        <v>259</v>
      </c>
      <c r="D6" s="295" t="s">
        <v>1041</v>
      </c>
      <c r="E6" s="296">
        <v>5</v>
      </c>
      <c r="F6" s="294">
        <v>13.2</v>
      </c>
      <c r="G6" s="294">
        <v>18.7</v>
      </c>
      <c r="H6" s="294"/>
      <c r="I6" s="294"/>
      <c r="J6" s="294"/>
      <c r="K6" s="294">
        <f t="shared" si="1"/>
        <v>2.1832000000000003</v>
      </c>
      <c r="L6" s="294">
        <f t="shared" si="2"/>
        <v>0.59496401387711539</v>
      </c>
      <c r="M6" s="297">
        <f t="shared" si="3"/>
        <v>4.5139016260715481</v>
      </c>
      <c r="N6" s="294">
        <v>0</v>
      </c>
      <c r="O6" s="294" t="str">
        <f t="shared" si="0"/>
        <v/>
      </c>
      <c r="P6" s="294"/>
      <c r="R6" s="301"/>
      <c r="S6" s="301"/>
      <c r="T6" s="301" t="s">
        <v>1045</v>
      </c>
      <c r="U6" s="301"/>
      <c r="V6" s="301"/>
    </row>
    <row r="7" spans="1:22">
      <c r="A7" s="294"/>
      <c r="B7" s="294" t="s">
        <v>254</v>
      </c>
      <c r="C7" s="294" t="s">
        <v>259</v>
      </c>
      <c r="D7" s="295" t="s">
        <v>1041</v>
      </c>
      <c r="E7" s="296">
        <v>6</v>
      </c>
      <c r="F7" s="294">
        <v>16</v>
      </c>
      <c r="G7" s="294">
        <v>15.6</v>
      </c>
      <c r="H7" s="294"/>
      <c r="I7" s="294"/>
      <c r="J7" s="294"/>
      <c r="K7" s="294">
        <f t="shared" si="1"/>
        <v>2.1160000000000001</v>
      </c>
      <c r="L7" s="294">
        <f t="shared" si="2"/>
        <v>0.63185951626122749</v>
      </c>
      <c r="M7" s="297">
        <f t="shared" si="3"/>
        <v>4.108947457301281</v>
      </c>
      <c r="N7" s="294">
        <v>0</v>
      </c>
      <c r="O7" s="294" t="str">
        <f t="shared" si="0"/>
        <v/>
      </c>
      <c r="P7" s="294"/>
      <c r="R7" s="301"/>
      <c r="S7" s="301"/>
      <c r="T7" s="301"/>
      <c r="U7" s="301"/>
      <c r="V7" s="301"/>
    </row>
    <row r="8" spans="1:22">
      <c r="A8" s="294"/>
      <c r="B8" s="294" t="s">
        <v>254</v>
      </c>
      <c r="C8" s="294" t="s">
        <v>259</v>
      </c>
      <c r="D8" s="295" t="s">
        <v>1046</v>
      </c>
      <c r="E8" s="296">
        <v>7</v>
      </c>
      <c r="F8" s="294">
        <v>20.9</v>
      </c>
      <c r="G8" s="294">
        <v>17.399999999999999</v>
      </c>
      <c r="H8" s="294"/>
      <c r="I8" s="294"/>
      <c r="J8" s="294"/>
      <c r="K8" s="294">
        <f t="shared" si="1"/>
        <v>1.9984000000000002</v>
      </c>
      <c r="L8" s="294">
        <f t="shared" si="2"/>
        <v>0.69147707180847306</v>
      </c>
      <c r="M8" s="297">
        <f t="shared" si="3"/>
        <v>5.3691170290018881</v>
      </c>
      <c r="N8" s="294">
        <v>1</v>
      </c>
      <c r="O8" s="294">
        <f t="shared" si="0"/>
        <v>5.3691170290018881</v>
      </c>
      <c r="P8" s="294"/>
      <c r="R8" s="300" t="s">
        <v>1047</v>
      </c>
      <c r="S8" s="301"/>
      <c r="T8" s="301"/>
      <c r="U8" s="301"/>
      <c r="V8" s="301"/>
    </row>
    <row r="9" spans="1:22">
      <c r="A9" s="294"/>
      <c r="B9" s="294" t="s">
        <v>254</v>
      </c>
      <c r="C9" s="294" t="s">
        <v>259</v>
      </c>
      <c r="D9" s="295" t="s">
        <v>1041</v>
      </c>
      <c r="E9" s="296">
        <v>8</v>
      </c>
      <c r="F9" s="294">
        <v>20.9</v>
      </c>
      <c r="G9" s="294">
        <v>16.399999999999999</v>
      </c>
      <c r="H9" s="294"/>
      <c r="I9" s="294"/>
      <c r="J9" s="294"/>
      <c r="K9" s="294">
        <f t="shared" si="1"/>
        <v>1.9984000000000002</v>
      </c>
      <c r="L9" s="294">
        <f t="shared" si="2"/>
        <v>0.69147707180847306</v>
      </c>
      <c r="M9" s="297">
        <f t="shared" si="3"/>
        <v>5.049052831932813</v>
      </c>
      <c r="N9" s="294">
        <v>0</v>
      </c>
      <c r="O9" s="294" t="str">
        <f t="shared" si="0"/>
        <v/>
      </c>
      <c r="P9" s="294"/>
      <c r="R9" s="301" t="s">
        <v>1048</v>
      </c>
      <c r="S9" s="301"/>
      <c r="T9" s="301"/>
      <c r="U9" s="301"/>
      <c r="V9" s="301"/>
    </row>
    <row r="10" spans="1:22">
      <c r="A10" s="294"/>
      <c r="B10" s="294" t="s">
        <v>254</v>
      </c>
      <c r="C10" s="294" t="s">
        <v>259</v>
      </c>
      <c r="D10" s="295" t="s">
        <v>1041</v>
      </c>
      <c r="E10" s="296">
        <v>9</v>
      </c>
      <c r="F10" s="294">
        <v>16.399999999999999</v>
      </c>
      <c r="G10" s="294">
        <v>12.6</v>
      </c>
      <c r="H10" s="294"/>
      <c r="I10" s="294"/>
      <c r="J10" s="294"/>
      <c r="K10" s="294">
        <f t="shared" si="1"/>
        <v>2.1063999999999998</v>
      </c>
      <c r="L10" s="294">
        <f>1/(1.05+1.4*EXP(-0.0604*F10))</f>
        <v>0.63697670153836161</v>
      </c>
      <c r="M10" s="297">
        <f t="shared" si="3"/>
        <v>3.3244794229156875</v>
      </c>
      <c r="N10" s="294">
        <v>0</v>
      </c>
      <c r="O10" s="294" t="str">
        <f t="shared" si="0"/>
        <v/>
      </c>
      <c r="P10" s="294"/>
      <c r="R10" s="643"/>
      <c r="S10" s="643"/>
      <c r="T10" s="303" t="s">
        <v>1049</v>
      </c>
      <c r="U10" s="303" t="s">
        <v>1050</v>
      </c>
      <c r="V10" s="303" t="s">
        <v>1051</v>
      </c>
    </row>
    <row r="11" spans="1:22" ht="14.25" customHeight="1">
      <c r="A11" s="294"/>
      <c r="B11" s="294" t="s">
        <v>254</v>
      </c>
      <c r="C11" s="294" t="s">
        <v>259</v>
      </c>
      <c r="D11" s="295" t="s">
        <v>1046</v>
      </c>
      <c r="E11" s="296">
        <v>10</v>
      </c>
      <c r="F11" s="294">
        <v>8.1999999999999993</v>
      </c>
      <c r="G11" s="294">
        <v>8.4</v>
      </c>
      <c r="H11" s="294"/>
      <c r="I11" s="294"/>
      <c r="J11" s="294"/>
      <c r="K11" s="294">
        <f t="shared" si="1"/>
        <v>2.3031999999999999</v>
      </c>
      <c r="L11" s="294">
        <f t="shared" si="2"/>
        <v>0.52544179948777858</v>
      </c>
      <c r="M11" s="297">
        <f t="shared" si="3"/>
        <v>1.5726132259552104</v>
      </c>
      <c r="N11" s="294">
        <v>0</v>
      </c>
      <c r="O11" s="294" t="str">
        <f t="shared" si="0"/>
        <v/>
      </c>
      <c r="P11" s="294"/>
      <c r="R11" s="643" t="s">
        <v>1052</v>
      </c>
      <c r="S11" s="643"/>
      <c r="T11" s="303">
        <v>7.969462</v>
      </c>
      <c r="U11" s="303">
        <v>0.2135155</v>
      </c>
      <c r="V11" s="303">
        <v>37.32</v>
      </c>
    </row>
    <row r="12" spans="1:22" ht="14.25" customHeight="1">
      <c r="A12" s="294"/>
      <c r="B12" s="294" t="s">
        <v>254</v>
      </c>
      <c r="C12" s="294" t="s">
        <v>259</v>
      </c>
      <c r="D12" s="295" t="s">
        <v>1041</v>
      </c>
      <c r="E12" s="296">
        <v>11</v>
      </c>
      <c r="F12" s="294">
        <v>2</v>
      </c>
      <c r="G12" s="294">
        <v>5.6</v>
      </c>
      <c r="H12" s="294"/>
      <c r="I12" s="294"/>
      <c r="J12" s="294"/>
      <c r="K12" s="294">
        <f t="shared" si="1"/>
        <v>2.452</v>
      </c>
      <c r="L12" s="294">
        <f t="shared" si="2"/>
        <v>0.43654860767603354</v>
      </c>
      <c r="M12" s="297">
        <f t="shared" si="3"/>
        <v>0.722235639380854</v>
      </c>
      <c r="N12" s="294">
        <v>0</v>
      </c>
      <c r="O12" s="294" t="str">
        <f t="shared" si="0"/>
        <v/>
      </c>
      <c r="P12" s="294"/>
      <c r="R12" s="643" t="s">
        <v>1053</v>
      </c>
      <c r="S12" s="643"/>
      <c r="T12" s="303">
        <v>4.5519299999999999E-2</v>
      </c>
      <c r="U12" s="303">
        <v>9.9069999999999996E-4</v>
      </c>
      <c r="V12" s="303">
        <v>45.95</v>
      </c>
    </row>
    <row r="13" spans="1:22">
      <c r="A13" s="294"/>
      <c r="B13" s="294" t="s">
        <v>254</v>
      </c>
      <c r="C13" s="294" t="s">
        <v>259</v>
      </c>
      <c r="D13" s="295" t="s">
        <v>1041</v>
      </c>
      <c r="E13" s="296">
        <v>12</v>
      </c>
      <c r="F13" s="294">
        <v>-2.5</v>
      </c>
      <c r="G13" s="294">
        <v>4.7</v>
      </c>
      <c r="H13" s="294"/>
      <c r="I13" s="294"/>
      <c r="J13" s="294"/>
      <c r="K13" s="294">
        <f t="shared" si="1"/>
        <v>2.56</v>
      </c>
      <c r="L13" s="294">
        <f t="shared" si="2"/>
        <v>0.37338576168864573</v>
      </c>
      <c r="M13" s="297">
        <f t="shared" si="3"/>
        <v>0.43409945271147937</v>
      </c>
      <c r="N13" s="294">
        <v>0</v>
      </c>
      <c r="O13" s="294" t="str">
        <f t="shared" si="0"/>
        <v/>
      </c>
      <c r="P13" s="294"/>
      <c r="R13" s="643" t="s">
        <v>225</v>
      </c>
      <c r="S13" s="304">
        <v>4</v>
      </c>
      <c r="T13" s="303">
        <v>0</v>
      </c>
      <c r="U13" s="303"/>
      <c r="V13" s="303"/>
    </row>
    <row r="14" spans="1:22">
      <c r="A14" s="294">
        <v>2</v>
      </c>
      <c r="B14" s="294" t="s">
        <v>254</v>
      </c>
      <c r="C14" s="294" t="s">
        <v>262</v>
      </c>
      <c r="D14" s="295" t="s">
        <v>1041</v>
      </c>
      <c r="E14" s="296">
        <v>1</v>
      </c>
      <c r="F14" s="294">
        <v>-1.5</v>
      </c>
      <c r="G14" s="294">
        <v>6.1</v>
      </c>
      <c r="H14" s="294"/>
      <c r="I14" s="294">
        <v>0.71299999999999997</v>
      </c>
      <c r="J14" s="294">
        <v>0.28999999999999998</v>
      </c>
      <c r="K14" s="294">
        <f>2.5-0.024*F14</f>
        <v>2.536</v>
      </c>
      <c r="L14" s="294">
        <f>1/(1.05+1.4*EXP(-0.0604*F14))</f>
        <v>0.3871821971716537</v>
      </c>
      <c r="M14" s="297">
        <f t="shared" ref="M14:M25" si="4">$I$14*L14*(G14/K14)+$J$14</f>
        <v>0.95402662861146403</v>
      </c>
      <c r="N14" s="294">
        <v>0</v>
      </c>
      <c r="O14" s="294" t="str">
        <f t="shared" si="0"/>
        <v/>
      </c>
      <c r="P14" s="294">
        <f>AVERAGE(O14:O25)</f>
        <v>4.7316620548428689</v>
      </c>
      <c r="R14" s="643"/>
      <c r="S14" s="304">
        <v>8</v>
      </c>
      <c r="T14" s="303">
        <v>0.7202115</v>
      </c>
      <c r="U14" s="303">
        <v>0.1508707</v>
      </c>
      <c r="V14" s="303">
        <v>4.7699999999999996</v>
      </c>
    </row>
    <row r="15" spans="1:22">
      <c r="A15" s="294"/>
      <c r="B15" s="294" t="s">
        <v>254</v>
      </c>
      <c r="C15" s="294" t="s">
        <v>262</v>
      </c>
      <c r="D15" s="295" t="s">
        <v>1041</v>
      </c>
      <c r="E15" s="296">
        <v>2</v>
      </c>
      <c r="F15" s="294">
        <v>-0.8</v>
      </c>
      <c r="G15" s="294">
        <v>8.1999999999999993</v>
      </c>
      <c r="H15" s="294"/>
      <c r="I15" s="294"/>
      <c r="J15" s="294"/>
      <c r="K15" s="294">
        <f t="shared" ref="K15:K78" si="5">2.5-0.024*F15</f>
        <v>2.5192000000000001</v>
      </c>
      <c r="L15" s="294">
        <f t="shared" ref="L15:L73" si="6">1/(1.05+1.4*EXP(-0.0604*F15))</f>
        <v>0.39693423538620415</v>
      </c>
      <c r="M15" s="297">
        <f t="shared" si="4"/>
        <v>1.2112113768692367</v>
      </c>
      <c r="N15" s="294">
        <v>0</v>
      </c>
      <c r="O15" s="294" t="str">
        <f t="shared" si="0"/>
        <v/>
      </c>
      <c r="P15" s="294"/>
      <c r="R15" s="643"/>
      <c r="S15" s="304">
        <v>12</v>
      </c>
      <c r="T15" s="303">
        <v>-6.6664070000000004</v>
      </c>
      <c r="U15" s="303">
        <v>0.1558821</v>
      </c>
      <c r="V15" s="303">
        <v>-42.77</v>
      </c>
    </row>
    <row r="16" spans="1:22">
      <c r="A16" s="294"/>
      <c r="B16" s="294" t="s">
        <v>254</v>
      </c>
      <c r="C16" s="294" t="s">
        <v>262</v>
      </c>
      <c r="D16" s="295" t="s">
        <v>1041</v>
      </c>
      <c r="E16" s="296">
        <v>3</v>
      </c>
      <c r="F16" s="294">
        <v>3.8</v>
      </c>
      <c r="G16" s="294">
        <v>11.7</v>
      </c>
      <c r="H16" s="294"/>
      <c r="I16" s="294"/>
      <c r="J16" s="294"/>
      <c r="K16" s="294">
        <f t="shared" si="5"/>
        <v>2.4087999999999998</v>
      </c>
      <c r="L16" s="294">
        <f t="shared" si="6"/>
        <v>0.46234626619550639</v>
      </c>
      <c r="M16" s="297">
        <f t="shared" si="4"/>
        <v>1.8911868097100357</v>
      </c>
      <c r="N16" s="294">
        <v>0</v>
      </c>
      <c r="O16" s="294" t="str">
        <f t="shared" si="0"/>
        <v/>
      </c>
      <c r="P16" s="294"/>
      <c r="R16" s="643"/>
      <c r="S16" s="304">
        <v>2</v>
      </c>
      <c r="T16" s="303">
        <v>-3.5495443999999998</v>
      </c>
      <c r="U16" s="303">
        <v>0.155191</v>
      </c>
      <c r="V16" s="303">
        <v>-22.87</v>
      </c>
    </row>
    <row r="17" spans="1:22">
      <c r="A17" s="294"/>
      <c r="B17" s="294" t="s">
        <v>254</v>
      </c>
      <c r="C17" s="294" t="s">
        <v>262</v>
      </c>
      <c r="D17" s="295" t="s">
        <v>1046</v>
      </c>
      <c r="E17" s="296">
        <v>4</v>
      </c>
      <c r="F17" s="294">
        <v>8.6999999999999993</v>
      </c>
      <c r="G17" s="294">
        <v>17.8</v>
      </c>
      <c r="H17" s="294"/>
      <c r="I17" s="294"/>
      <c r="J17" s="294"/>
      <c r="K17" s="294">
        <f t="shared" si="5"/>
        <v>2.2911999999999999</v>
      </c>
      <c r="L17" s="294">
        <f t="shared" si="6"/>
        <v>0.53254372569577879</v>
      </c>
      <c r="M17" s="297">
        <f t="shared" si="4"/>
        <v>3.2398627096261379</v>
      </c>
      <c r="N17" s="294">
        <v>0</v>
      </c>
      <c r="O17" s="294" t="str">
        <f t="shared" si="0"/>
        <v/>
      </c>
      <c r="P17" s="294"/>
      <c r="R17" s="643"/>
      <c r="S17" s="304">
        <v>1</v>
      </c>
      <c r="T17" s="303">
        <v>-5.9697851999999996</v>
      </c>
      <c r="U17" s="303">
        <v>0.15641910000000001</v>
      </c>
      <c r="V17" s="303">
        <v>-38.17</v>
      </c>
    </row>
    <row r="18" spans="1:22">
      <c r="A18" s="294"/>
      <c r="B18" s="294" t="s">
        <v>254</v>
      </c>
      <c r="C18" s="294" t="s">
        <v>262</v>
      </c>
      <c r="D18" s="295" t="s">
        <v>1041</v>
      </c>
      <c r="E18" s="296">
        <v>5</v>
      </c>
      <c r="F18" s="294">
        <v>14.2</v>
      </c>
      <c r="G18" s="294">
        <v>21.1</v>
      </c>
      <c r="H18" s="294"/>
      <c r="I18" s="294"/>
      <c r="J18" s="294"/>
      <c r="K18" s="294">
        <f t="shared" si="5"/>
        <v>2.1592000000000002</v>
      </c>
      <c r="L18" s="294">
        <f t="shared" si="6"/>
        <v>0.60834542565835392</v>
      </c>
      <c r="M18" s="297">
        <f t="shared" si="4"/>
        <v>4.5286676024601578</v>
      </c>
      <c r="N18" s="294">
        <v>0</v>
      </c>
      <c r="O18" s="294" t="str">
        <f t="shared" si="0"/>
        <v/>
      </c>
      <c r="P18" s="294"/>
      <c r="R18" s="643"/>
      <c r="S18" s="304">
        <v>7</v>
      </c>
      <c r="T18" s="303">
        <v>1.4765969999999999</v>
      </c>
      <c r="U18" s="303">
        <v>0.15071619999999999</v>
      </c>
      <c r="V18" s="303">
        <v>9.8000000000000007</v>
      </c>
    </row>
    <row r="19" spans="1:22">
      <c r="A19" s="294"/>
      <c r="B19" s="294" t="s">
        <v>254</v>
      </c>
      <c r="C19" s="294" t="s">
        <v>262</v>
      </c>
      <c r="D19" s="295" t="s">
        <v>1041</v>
      </c>
      <c r="E19" s="296">
        <v>6</v>
      </c>
      <c r="F19" s="294">
        <v>16.7</v>
      </c>
      <c r="G19" s="294">
        <v>17.100000000000001</v>
      </c>
      <c r="H19" s="294"/>
      <c r="I19" s="294"/>
      <c r="J19" s="294"/>
      <c r="K19" s="294">
        <f t="shared" si="5"/>
        <v>2.0992000000000002</v>
      </c>
      <c r="L19" s="294">
        <f t="shared" si="6"/>
        <v>0.64078736157508165</v>
      </c>
      <c r="M19" s="297">
        <f t="shared" si="4"/>
        <v>4.0117376850856843</v>
      </c>
      <c r="N19" s="294">
        <v>0</v>
      </c>
      <c r="O19" s="294" t="str">
        <f t="shared" si="0"/>
        <v/>
      </c>
      <c r="P19" s="294"/>
      <c r="R19" s="643"/>
      <c r="S19" s="304">
        <v>6</v>
      </c>
      <c r="T19" s="303">
        <v>1.8773260000000001</v>
      </c>
      <c r="U19" s="303">
        <v>0.152007</v>
      </c>
      <c r="V19" s="303">
        <v>12.35</v>
      </c>
    </row>
    <row r="20" spans="1:22">
      <c r="A20" s="294"/>
      <c r="B20" s="294" t="s">
        <v>254</v>
      </c>
      <c r="C20" s="294" t="s">
        <v>262</v>
      </c>
      <c r="D20" s="295" t="s">
        <v>1041</v>
      </c>
      <c r="E20" s="296">
        <v>7</v>
      </c>
      <c r="F20" s="294">
        <v>21.3</v>
      </c>
      <c r="G20" s="294">
        <v>17.8</v>
      </c>
      <c r="H20" s="294"/>
      <c r="I20" s="294"/>
      <c r="J20" s="294"/>
      <c r="K20" s="294">
        <f t="shared" si="5"/>
        <v>1.9887999999999999</v>
      </c>
      <c r="L20" s="294">
        <f t="shared" si="6"/>
        <v>0.69602860950497947</v>
      </c>
      <c r="M20" s="297">
        <f t="shared" si="4"/>
        <v>4.7316620548428689</v>
      </c>
      <c r="N20" s="294">
        <v>1</v>
      </c>
      <c r="O20" s="294">
        <f t="shared" si="0"/>
        <v>4.7316620548428689</v>
      </c>
      <c r="P20" s="294"/>
      <c r="R20" s="643"/>
      <c r="S20" s="304">
        <v>3</v>
      </c>
      <c r="T20" s="303">
        <v>-1.9169603</v>
      </c>
      <c r="U20" s="303">
        <v>0.1508582</v>
      </c>
      <c r="V20" s="303">
        <v>-12.71</v>
      </c>
    </row>
    <row r="21" spans="1:22">
      <c r="A21" s="294"/>
      <c r="B21" s="294" t="s">
        <v>254</v>
      </c>
      <c r="C21" s="294" t="s">
        <v>262</v>
      </c>
      <c r="D21" s="295" t="s">
        <v>1041</v>
      </c>
      <c r="E21" s="296">
        <v>8</v>
      </c>
      <c r="F21" s="294">
        <v>22.4</v>
      </c>
      <c r="G21" s="294">
        <v>15.7</v>
      </c>
      <c r="H21" s="294"/>
      <c r="I21" s="294"/>
      <c r="J21" s="294"/>
      <c r="K21" s="294">
        <f t="shared" si="5"/>
        <v>1.9624000000000001</v>
      </c>
      <c r="L21" s="294">
        <f t="shared" si="6"/>
        <v>0.70828368713210621</v>
      </c>
      <c r="M21" s="297">
        <f t="shared" si="4"/>
        <v>4.3302560243199704</v>
      </c>
      <c r="N21" s="294">
        <v>0</v>
      </c>
      <c r="O21" s="294" t="str">
        <f t="shared" si="0"/>
        <v/>
      </c>
      <c r="P21" s="294"/>
      <c r="R21" s="643"/>
      <c r="S21" s="304">
        <v>5</v>
      </c>
      <c r="T21" s="303">
        <v>1.7936258</v>
      </c>
      <c r="U21" s="303">
        <v>0.16514219999999999</v>
      </c>
      <c r="V21" s="303">
        <v>10.86</v>
      </c>
    </row>
    <row r="22" spans="1:22">
      <c r="A22" s="294"/>
      <c r="B22" s="294" t="s">
        <v>254</v>
      </c>
      <c r="C22" s="294" t="s">
        <v>262</v>
      </c>
      <c r="D22" s="295" t="s">
        <v>1046</v>
      </c>
      <c r="E22" s="296">
        <v>9</v>
      </c>
      <c r="F22" s="294">
        <v>18.399999999999999</v>
      </c>
      <c r="G22" s="294">
        <v>12.4</v>
      </c>
      <c r="H22" s="294"/>
      <c r="I22" s="294"/>
      <c r="J22" s="294"/>
      <c r="K22" s="294">
        <f t="shared" si="5"/>
        <v>2.0583999999999998</v>
      </c>
      <c r="L22" s="294">
        <f t="shared" si="6"/>
        <v>0.66192047983258717</v>
      </c>
      <c r="M22" s="297">
        <f t="shared" si="4"/>
        <v>3.1330680850640644</v>
      </c>
      <c r="N22" s="294">
        <v>0</v>
      </c>
      <c r="O22" s="294" t="str">
        <f t="shared" si="0"/>
        <v/>
      </c>
      <c r="P22" s="294"/>
      <c r="R22" s="643"/>
      <c r="S22" s="304">
        <v>11</v>
      </c>
      <c r="T22" s="303">
        <v>-5.3803330000000003</v>
      </c>
      <c r="U22" s="303">
        <v>0.1607555</v>
      </c>
      <c r="V22" s="303">
        <v>-33.47</v>
      </c>
    </row>
    <row r="23" spans="1:22">
      <c r="A23" s="294"/>
      <c r="B23" s="294" t="s">
        <v>254</v>
      </c>
      <c r="C23" s="294" t="s">
        <v>262</v>
      </c>
      <c r="D23" s="295" t="s">
        <v>1041</v>
      </c>
      <c r="E23" s="296">
        <v>10</v>
      </c>
      <c r="F23" s="294">
        <v>10.8</v>
      </c>
      <c r="G23" s="294">
        <v>9.6</v>
      </c>
      <c r="H23" s="294"/>
      <c r="I23" s="294"/>
      <c r="J23" s="294"/>
      <c r="K23" s="294">
        <f t="shared" si="5"/>
        <v>2.2408000000000001</v>
      </c>
      <c r="L23" s="294">
        <f t="shared" si="6"/>
        <v>0.56205969531029709</v>
      </c>
      <c r="M23" s="297">
        <f t="shared" si="4"/>
        <v>2.0068806687164944</v>
      </c>
      <c r="N23" s="294">
        <v>0</v>
      </c>
      <c r="O23" s="294" t="str">
        <f t="shared" si="0"/>
        <v/>
      </c>
      <c r="P23" s="294"/>
      <c r="R23" s="643"/>
      <c r="S23" s="304">
        <v>10</v>
      </c>
      <c r="T23" s="303">
        <v>-4.0553308000000001</v>
      </c>
      <c r="U23" s="303">
        <v>0.15526380000000001</v>
      </c>
      <c r="V23" s="303">
        <v>-26.12</v>
      </c>
    </row>
    <row r="24" spans="1:22">
      <c r="A24" s="294"/>
      <c r="B24" s="294" t="s">
        <v>254</v>
      </c>
      <c r="C24" s="294" t="s">
        <v>262</v>
      </c>
      <c r="D24" s="295" t="s">
        <v>1046</v>
      </c>
      <c r="E24" s="296">
        <v>11</v>
      </c>
      <c r="F24" s="294">
        <v>5.4</v>
      </c>
      <c r="G24" s="294">
        <v>6.2</v>
      </c>
      <c r="H24" s="294"/>
      <c r="I24" s="294"/>
      <c r="J24" s="294"/>
      <c r="K24" s="294">
        <f t="shared" si="5"/>
        <v>2.3704000000000001</v>
      </c>
      <c r="L24" s="294">
        <f t="shared" si="6"/>
        <v>0.48535075735081867</v>
      </c>
      <c r="M24" s="297">
        <f t="shared" si="4"/>
        <v>1.1951390305201777</v>
      </c>
      <c r="N24" s="294">
        <v>0</v>
      </c>
      <c r="O24" s="294" t="str">
        <f t="shared" si="0"/>
        <v/>
      </c>
      <c r="P24" s="294"/>
      <c r="R24" s="643"/>
      <c r="S24" s="304">
        <v>9</v>
      </c>
      <c r="T24" s="303">
        <v>-1.0450458</v>
      </c>
      <c r="U24" s="303">
        <v>0.1517058</v>
      </c>
      <c r="V24" s="303">
        <v>-6.89</v>
      </c>
    </row>
    <row r="25" spans="1:22">
      <c r="A25" s="294"/>
      <c r="B25" s="294" t="s">
        <v>254</v>
      </c>
      <c r="C25" s="294" t="s">
        <v>262</v>
      </c>
      <c r="D25" s="295" t="s">
        <v>1041</v>
      </c>
      <c r="E25" s="296">
        <v>12</v>
      </c>
      <c r="F25" s="294">
        <v>0.8</v>
      </c>
      <c r="G25" s="294">
        <v>5</v>
      </c>
      <c r="H25" s="294"/>
      <c r="I25" s="294"/>
      <c r="J25" s="294"/>
      <c r="K25" s="294">
        <f t="shared" si="5"/>
        <v>2.4807999999999999</v>
      </c>
      <c r="L25" s="294">
        <f t="shared" si="6"/>
        <v>0.41947006088789601</v>
      </c>
      <c r="M25" s="297">
        <f t="shared" si="4"/>
        <v>0.8927937629254068</v>
      </c>
      <c r="N25" s="294">
        <v>0</v>
      </c>
      <c r="O25" s="294" t="str">
        <f t="shared" si="0"/>
        <v/>
      </c>
      <c r="P25" s="294"/>
      <c r="S25" s="305"/>
    </row>
    <row r="26" spans="1:22">
      <c r="A26" s="294">
        <v>3</v>
      </c>
      <c r="B26" s="294" t="s">
        <v>254</v>
      </c>
      <c r="C26" s="294" t="s">
        <v>531</v>
      </c>
      <c r="D26" s="295" t="s">
        <v>1041</v>
      </c>
      <c r="E26" s="296">
        <v>1</v>
      </c>
      <c r="F26" s="294">
        <v>-0.4</v>
      </c>
      <c r="G26" s="294">
        <v>5.2</v>
      </c>
      <c r="H26" s="294"/>
      <c r="I26" s="294">
        <v>0.78200000000000003</v>
      </c>
      <c r="J26" s="294">
        <v>0.42</v>
      </c>
      <c r="K26" s="294">
        <f t="shared" si="5"/>
        <v>2.5095999999999998</v>
      </c>
      <c r="L26" s="294">
        <f t="shared" si="6"/>
        <v>0.40253826064384984</v>
      </c>
      <c r="M26" s="297">
        <f t="shared" ref="M26:M37" si="7">$I$26*L26*(G26/K26)+$J$26</f>
        <v>1.0722480009093684</v>
      </c>
      <c r="N26" s="294">
        <v>0</v>
      </c>
      <c r="O26" s="294" t="str">
        <f t="shared" si="0"/>
        <v/>
      </c>
      <c r="P26" s="294">
        <f>AVERAGE(O26:O37)</f>
        <v>5.4606825173748801</v>
      </c>
    </row>
    <row r="27" spans="1:22">
      <c r="A27" s="294"/>
      <c r="B27" s="294" t="s">
        <v>254</v>
      </c>
      <c r="C27" s="294" t="s">
        <v>531</v>
      </c>
      <c r="D27" s="295" t="s">
        <v>1046</v>
      </c>
      <c r="E27" s="296">
        <v>2</v>
      </c>
      <c r="F27" s="294">
        <v>-0.1</v>
      </c>
      <c r="G27" s="294">
        <v>9.5</v>
      </c>
      <c r="H27" s="294"/>
      <c r="I27" s="294"/>
      <c r="J27" s="294"/>
      <c r="K27" s="294">
        <f t="shared" si="5"/>
        <v>2.5024000000000002</v>
      </c>
      <c r="L27" s="294">
        <f t="shared" si="6"/>
        <v>0.40675513074083547</v>
      </c>
      <c r="M27" s="297">
        <f t="shared" si="7"/>
        <v>1.6275542943868553</v>
      </c>
      <c r="N27" s="294">
        <v>0</v>
      </c>
      <c r="O27" s="294" t="str">
        <f t="shared" si="0"/>
        <v/>
      </c>
      <c r="P27" s="294"/>
    </row>
    <row r="28" spans="1:22">
      <c r="A28" s="294"/>
      <c r="B28" s="294" t="s">
        <v>254</v>
      </c>
      <c r="C28" s="294" t="s">
        <v>531</v>
      </c>
      <c r="D28" s="295" t="s">
        <v>1046</v>
      </c>
      <c r="E28" s="296">
        <v>3</v>
      </c>
      <c r="F28" s="294">
        <v>3.4</v>
      </c>
      <c r="G28" s="294">
        <v>13.1</v>
      </c>
      <c r="H28" s="294"/>
      <c r="I28" s="294"/>
      <c r="J28" s="294"/>
      <c r="K28" s="294">
        <f t="shared" si="5"/>
        <v>2.4184000000000001</v>
      </c>
      <c r="L28" s="294">
        <f t="shared" si="6"/>
        <v>0.45660104450706968</v>
      </c>
      <c r="M28" s="297">
        <f t="shared" si="7"/>
        <v>2.3541351389924423</v>
      </c>
      <c r="N28" s="294">
        <v>0</v>
      </c>
      <c r="O28" s="294" t="str">
        <f t="shared" si="0"/>
        <v/>
      </c>
      <c r="P28" s="294"/>
    </row>
    <row r="29" spans="1:22">
      <c r="A29" s="294"/>
      <c r="B29" s="294" t="s">
        <v>254</v>
      </c>
      <c r="C29" s="294" t="s">
        <v>531</v>
      </c>
      <c r="D29" s="295" t="s">
        <v>1041</v>
      </c>
      <c r="E29" s="296">
        <v>4</v>
      </c>
      <c r="F29" s="294">
        <v>6.8</v>
      </c>
      <c r="G29" s="294">
        <v>16.3</v>
      </c>
      <c r="H29" s="294"/>
      <c r="I29" s="294"/>
      <c r="J29" s="294"/>
      <c r="K29" s="294">
        <f t="shared" si="5"/>
        <v>2.3368000000000002</v>
      </c>
      <c r="L29" s="294">
        <f t="shared" si="6"/>
        <v>0.50544832057472966</v>
      </c>
      <c r="M29" s="297">
        <f t="shared" si="7"/>
        <v>3.1770812919538893</v>
      </c>
      <c r="N29" s="294">
        <v>0</v>
      </c>
      <c r="O29" s="294" t="str">
        <f t="shared" si="0"/>
        <v/>
      </c>
      <c r="P29" s="294"/>
    </row>
    <row r="30" spans="1:22">
      <c r="A30" s="294"/>
      <c r="B30" s="294" t="s">
        <v>254</v>
      </c>
      <c r="C30" s="294" t="s">
        <v>531</v>
      </c>
      <c r="D30" s="295" t="s">
        <v>1046</v>
      </c>
      <c r="E30" s="296">
        <v>5</v>
      </c>
      <c r="F30" s="294">
        <v>11.8</v>
      </c>
      <c r="G30" s="294">
        <v>20.6</v>
      </c>
      <c r="H30" s="294"/>
      <c r="I30" s="294"/>
      <c r="J30" s="294"/>
      <c r="K30" s="294">
        <f t="shared" si="5"/>
        <v>2.2168000000000001</v>
      </c>
      <c r="L30" s="294">
        <f t="shared" si="6"/>
        <v>0.57589347711044203</v>
      </c>
      <c r="M30" s="297">
        <f t="shared" si="7"/>
        <v>4.6049437032964331</v>
      </c>
      <c r="N30" s="294">
        <v>0</v>
      </c>
      <c r="O30" s="294" t="str">
        <f t="shared" si="0"/>
        <v/>
      </c>
      <c r="P30" s="294"/>
    </row>
    <row r="31" spans="1:22">
      <c r="A31" s="294"/>
      <c r="B31" s="294" t="s">
        <v>254</v>
      </c>
      <c r="C31" s="294" t="s">
        <v>531</v>
      </c>
      <c r="D31" s="295" t="s">
        <v>1041</v>
      </c>
      <c r="E31" s="296">
        <v>6</v>
      </c>
      <c r="F31" s="294">
        <v>14.9</v>
      </c>
      <c r="G31" s="294">
        <v>18.8</v>
      </c>
      <c r="H31" s="294"/>
      <c r="I31" s="294"/>
      <c r="J31" s="294"/>
      <c r="K31" s="294">
        <f t="shared" si="5"/>
        <v>2.1423999999999999</v>
      </c>
      <c r="L31" s="294">
        <f t="shared" si="6"/>
        <v>0.61758119321063421</v>
      </c>
      <c r="M31" s="297">
        <f t="shared" si="7"/>
        <v>4.6579722134547525</v>
      </c>
      <c r="N31" s="294">
        <v>0</v>
      </c>
      <c r="O31" s="294" t="str">
        <f t="shared" si="0"/>
        <v/>
      </c>
      <c r="P31" s="294"/>
    </row>
    <row r="32" spans="1:22">
      <c r="A32" s="294"/>
      <c r="B32" s="294" t="s">
        <v>254</v>
      </c>
      <c r="C32" s="294" t="s">
        <v>531</v>
      </c>
      <c r="D32" s="295" t="s">
        <v>1041</v>
      </c>
      <c r="E32" s="296">
        <v>7</v>
      </c>
      <c r="F32" s="294">
        <v>19.5</v>
      </c>
      <c r="G32" s="294">
        <v>19.399999999999999</v>
      </c>
      <c r="H32" s="294"/>
      <c r="I32" s="294"/>
      <c r="J32" s="294"/>
      <c r="K32" s="294">
        <f t="shared" si="5"/>
        <v>2.032</v>
      </c>
      <c r="L32" s="294">
        <f t="shared" si="6"/>
        <v>0.67515667435506088</v>
      </c>
      <c r="M32" s="297">
        <f t="shared" si="7"/>
        <v>5.4606825173748801</v>
      </c>
      <c r="N32" s="294">
        <v>1</v>
      </c>
      <c r="O32" s="294">
        <f t="shared" si="0"/>
        <v>5.4606825173748801</v>
      </c>
      <c r="P32" s="294"/>
    </row>
    <row r="33" spans="1:16">
      <c r="A33" s="294"/>
      <c r="B33" s="294" t="s">
        <v>254</v>
      </c>
      <c r="C33" s="294" t="s">
        <v>531</v>
      </c>
      <c r="D33" s="295" t="s">
        <v>1046</v>
      </c>
      <c r="E33" s="296">
        <v>8</v>
      </c>
      <c r="F33" s="294">
        <v>21</v>
      </c>
      <c r="G33" s="294">
        <v>14.9</v>
      </c>
      <c r="H33" s="294"/>
      <c r="I33" s="294"/>
      <c r="J33" s="294"/>
      <c r="K33" s="294">
        <f t="shared" si="5"/>
        <v>1.996</v>
      </c>
      <c r="L33" s="294">
        <f t="shared" si="6"/>
        <v>0.69261966250512974</v>
      </c>
      <c r="M33" s="297">
        <f t="shared" si="7"/>
        <v>4.4632193304495349</v>
      </c>
      <c r="N33" s="294">
        <v>0</v>
      </c>
      <c r="O33" s="294" t="str">
        <f t="shared" si="0"/>
        <v/>
      </c>
      <c r="P33" s="294"/>
    </row>
    <row r="34" spans="1:16">
      <c r="A34" s="294"/>
      <c r="B34" s="294" t="s">
        <v>254</v>
      </c>
      <c r="C34" s="294" t="s">
        <v>531</v>
      </c>
      <c r="D34" s="295" t="s">
        <v>1046</v>
      </c>
      <c r="E34" s="296">
        <v>9</v>
      </c>
      <c r="F34" s="294">
        <v>18</v>
      </c>
      <c r="G34" s="294">
        <v>13</v>
      </c>
      <c r="H34" s="294"/>
      <c r="I34" s="294"/>
      <c r="J34" s="294"/>
      <c r="K34" s="294">
        <f t="shared" si="5"/>
        <v>2.0680000000000001</v>
      </c>
      <c r="L34" s="294">
        <f t="shared" si="6"/>
        <v>0.65702033496476719</v>
      </c>
      <c r="M34" s="297">
        <f t="shared" si="7"/>
        <v>3.6498204667562009</v>
      </c>
      <c r="N34" s="294">
        <v>0</v>
      </c>
      <c r="O34" s="294" t="str">
        <f t="shared" si="0"/>
        <v/>
      </c>
      <c r="P34" s="294"/>
    </row>
    <row r="35" spans="1:16">
      <c r="A35" s="294"/>
      <c r="B35" s="294" t="s">
        <v>254</v>
      </c>
      <c r="C35" s="294" t="s">
        <v>531</v>
      </c>
      <c r="D35" s="295" t="s">
        <v>1041</v>
      </c>
      <c r="E35" s="296">
        <v>10</v>
      </c>
      <c r="F35" s="294">
        <v>11.3</v>
      </c>
      <c r="G35" s="294">
        <v>10.5</v>
      </c>
      <c r="H35" s="294"/>
      <c r="I35" s="294"/>
      <c r="J35" s="294"/>
      <c r="K35" s="294">
        <f t="shared" si="5"/>
        <v>2.2288000000000001</v>
      </c>
      <c r="L35" s="294">
        <f t="shared" si="6"/>
        <v>0.56899694033307113</v>
      </c>
      <c r="M35" s="297">
        <f t="shared" si="7"/>
        <v>2.5162104617169989</v>
      </c>
      <c r="N35" s="294">
        <v>0</v>
      </c>
      <c r="O35" s="294" t="str">
        <f t="shared" si="0"/>
        <v/>
      </c>
      <c r="P35" s="294"/>
    </row>
    <row r="36" spans="1:16">
      <c r="A36" s="294"/>
      <c r="B36" s="294" t="s">
        <v>254</v>
      </c>
      <c r="C36" s="294" t="s">
        <v>531</v>
      </c>
      <c r="D36" s="295" t="s">
        <v>1041</v>
      </c>
      <c r="E36" s="296">
        <v>11</v>
      </c>
      <c r="F36" s="294">
        <v>7.1</v>
      </c>
      <c r="G36" s="294">
        <v>6.6</v>
      </c>
      <c r="H36" s="294"/>
      <c r="I36" s="294"/>
      <c r="J36" s="294"/>
      <c r="K36" s="294">
        <f t="shared" si="5"/>
        <v>2.3296000000000001</v>
      </c>
      <c r="L36" s="294">
        <f t="shared" si="6"/>
        <v>0.50974381096902943</v>
      </c>
      <c r="M36" s="297">
        <f t="shared" si="7"/>
        <v>1.5493311114240018</v>
      </c>
      <c r="N36" s="294">
        <v>0</v>
      </c>
      <c r="O36" s="294" t="str">
        <f t="shared" si="0"/>
        <v/>
      </c>
      <c r="P36" s="294"/>
    </row>
    <row r="37" spans="1:16">
      <c r="A37" s="294"/>
      <c r="B37" s="294" t="s">
        <v>254</v>
      </c>
      <c r="C37" s="294" t="s">
        <v>531</v>
      </c>
      <c r="D37" s="295" t="s">
        <v>1046</v>
      </c>
      <c r="E37" s="296">
        <v>12</v>
      </c>
      <c r="F37" s="294">
        <v>2.6</v>
      </c>
      <c r="G37" s="294">
        <v>4.7</v>
      </c>
      <c r="H37" s="294"/>
      <c r="I37" s="294"/>
      <c r="J37" s="294"/>
      <c r="K37" s="294">
        <f t="shared" si="5"/>
        <v>2.4376000000000002</v>
      </c>
      <c r="L37" s="294">
        <f t="shared" si="6"/>
        <v>0.44512938582790712</v>
      </c>
      <c r="M37" s="297">
        <f t="shared" si="7"/>
        <v>1.0911636628946053</v>
      </c>
      <c r="N37" s="294">
        <v>0</v>
      </c>
      <c r="O37" s="294" t="str">
        <f t="shared" si="0"/>
        <v/>
      </c>
      <c r="P37" s="294"/>
    </row>
    <row r="38" spans="1:16">
      <c r="A38" s="294">
        <v>4</v>
      </c>
      <c r="B38" s="294" t="s">
        <v>254</v>
      </c>
      <c r="C38" s="294" t="s">
        <v>253</v>
      </c>
      <c r="D38" s="295" t="s">
        <v>1046</v>
      </c>
      <c r="E38" s="296">
        <v>1</v>
      </c>
      <c r="F38" s="294">
        <v>-2.9</v>
      </c>
      <c r="G38" s="294">
        <v>4</v>
      </c>
      <c r="H38" s="294"/>
      <c r="I38" s="294">
        <v>0.65100000000000002</v>
      </c>
      <c r="J38" s="294">
        <v>0.56000000000000005</v>
      </c>
      <c r="K38" s="294">
        <f t="shared" si="5"/>
        <v>2.5695999999999999</v>
      </c>
      <c r="L38" s="294">
        <f t="shared" si="6"/>
        <v>0.36791602115825339</v>
      </c>
      <c r="M38" s="297">
        <f t="shared" ref="M38:M49" si="8">$I$38*L38*(G38/K38)+$J$38</f>
        <v>0.93284142243776924</v>
      </c>
      <c r="N38" s="294">
        <v>0</v>
      </c>
      <c r="O38" s="294" t="str">
        <f t="shared" si="0"/>
        <v/>
      </c>
      <c r="P38" s="294">
        <f>AVERAGE(O38:O49)</f>
        <v>3.7065695942730481</v>
      </c>
    </row>
    <row r="39" spans="1:16">
      <c r="A39" s="294"/>
      <c r="B39" s="294" t="s">
        <v>254</v>
      </c>
      <c r="C39" s="294" t="s">
        <v>253</v>
      </c>
      <c r="D39" s="295" t="s">
        <v>1041</v>
      </c>
      <c r="E39" s="296">
        <v>2</v>
      </c>
      <c r="F39" s="294">
        <v>-1.7</v>
      </c>
      <c r="G39" s="294">
        <v>7.1</v>
      </c>
      <c r="H39" s="294"/>
      <c r="I39" s="294"/>
      <c r="J39" s="294"/>
      <c r="K39" s="294">
        <f t="shared" si="5"/>
        <v>2.5407999999999999</v>
      </c>
      <c r="L39" s="294">
        <f t="shared" si="6"/>
        <v>0.38440965921047288</v>
      </c>
      <c r="M39" s="297">
        <f t="shared" si="8"/>
        <v>1.2592993883173516</v>
      </c>
      <c r="N39" s="294">
        <v>0</v>
      </c>
      <c r="O39" s="294" t="str">
        <f t="shared" si="0"/>
        <v/>
      </c>
      <c r="P39" s="294"/>
    </row>
    <row r="40" spans="1:16">
      <c r="A40" s="294"/>
      <c r="B40" s="294" t="s">
        <v>254</v>
      </c>
      <c r="C40" s="294" t="s">
        <v>253</v>
      </c>
      <c r="D40" s="295" t="s">
        <v>1041</v>
      </c>
      <c r="E40" s="296">
        <v>3</v>
      </c>
      <c r="F40" s="294">
        <v>2.2999999999999998</v>
      </c>
      <c r="G40" s="294">
        <v>10.1</v>
      </c>
      <c r="H40" s="294"/>
      <c r="I40" s="294"/>
      <c r="J40" s="294"/>
      <c r="K40" s="294">
        <f t="shared" si="5"/>
        <v>2.4447999999999999</v>
      </c>
      <c r="L40" s="294">
        <f t="shared" si="6"/>
        <v>0.44083611089147634</v>
      </c>
      <c r="M40" s="297">
        <f t="shared" si="8"/>
        <v>1.7455945323636068</v>
      </c>
      <c r="N40" s="294">
        <v>0</v>
      </c>
      <c r="O40" s="294" t="str">
        <f t="shared" si="0"/>
        <v/>
      </c>
      <c r="P40" s="294"/>
    </row>
    <row r="41" spans="1:16">
      <c r="A41" s="294"/>
      <c r="B41" s="294" t="s">
        <v>254</v>
      </c>
      <c r="C41" s="294" t="s">
        <v>253</v>
      </c>
      <c r="D41" s="295" t="s">
        <v>1046</v>
      </c>
      <c r="E41" s="296">
        <v>4</v>
      </c>
      <c r="F41" s="294">
        <v>5.9</v>
      </c>
      <c r="G41" s="294">
        <v>15.6</v>
      </c>
      <c r="H41" s="294"/>
      <c r="I41" s="294"/>
      <c r="J41" s="294"/>
      <c r="K41" s="294">
        <f t="shared" si="5"/>
        <v>2.3584000000000001</v>
      </c>
      <c r="L41" s="294">
        <f t="shared" si="6"/>
        <v>0.49253593954393965</v>
      </c>
      <c r="M41" s="297">
        <f t="shared" si="8"/>
        <v>2.6809285904140236</v>
      </c>
      <c r="N41" s="294">
        <v>0</v>
      </c>
      <c r="O41" s="294" t="str">
        <f t="shared" si="0"/>
        <v/>
      </c>
      <c r="P41" s="294"/>
    </row>
    <row r="42" spans="1:16">
      <c r="A42" s="294"/>
      <c r="B42" s="294" t="s">
        <v>254</v>
      </c>
      <c r="C42" s="294" t="s">
        <v>253</v>
      </c>
      <c r="D42" s="295" t="s">
        <v>1041</v>
      </c>
      <c r="E42" s="296">
        <v>5</v>
      </c>
      <c r="F42" s="294">
        <v>9.9</v>
      </c>
      <c r="G42" s="294">
        <v>17.899999999999999</v>
      </c>
      <c r="H42" s="294"/>
      <c r="I42" s="294"/>
      <c r="J42" s="294"/>
      <c r="K42" s="294">
        <f t="shared" si="5"/>
        <v>2.2624</v>
      </c>
      <c r="L42" s="294">
        <f t="shared" si="6"/>
        <v>0.54947914156562316</v>
      </c>
      <c r="M42" s="297">
        <f t="shared" si="8"/>
        <v>3.3901916057063519</v>
      </c>
      <c r="N42" s="294">
        <v>0</v>
      </c>
      <c r="O42" s="294" t="str">
        <f t="shared" si="0"/>
        <v/>
      </c>
      <c r="P42" s="294"/>
    </row>
    <row r="43" spans="1:16">
      <c r="A43" s="294"/>
      <c r="B43" s="294" t="s">
        <v>254</v>
      </c>
      <c r="C43" s="294" t="s">
        <v>253</v>
      </c>
      <c r="D43" s="295" t="s">
        <v>1041</v>
      </c>
      <c r="E43" s="296">
        <v>6</v>
      </c>
      <c r="F43" s="294">
        <v>12.1</v>
      </c>
      <c r="G43" s="294">
        <v>15.8</v>
      </c>
      <c r="H43" s="294"/>
      <c r="I43" s="294"/>
      <c r="J43" s="294"/>
      <c r="K43" s="294">
        <f t="shared" si="5"/>
        <v>2.2096</v>
      </c>
      <c r="L43" s="294">
        <f t="shared" si="6"/>
        <v>0.58001070845649794</v>
      </c>
      <c r="M43" s="297">
        <f t="shared" si="8"/>
        <v>3.2599792473940292</v>
      </c>
      <c r="N43" s="294">
        <v>0</v>
      </c>
      <c r="O43" s="294" t="str">
        <f t="shared" si="0"/>
        <v/>
      </c>
      <c r="P43" s="294"/>
    </row>
    <row r="44" spans="1:16">
      <c r="A44" s="294"/>
      <c r="B44" s="294" t="s">
        <v>254</v>
      </c>
      <c r="C44" s="294" t="s">
        <v>253</v>
      </c>
      <c r="D44" s="295" t="s">
        <v>1041</v>
      </c>
      <c r="E44" s="296">
        <v>7</v>
      </c>
      <c r="F44" s="294">
        <v>17.600000000000001</v>
      </c>
      <c r="G44" s="294">
        <v>15.4</v>
      </c>
      <c r="H44" s="294"/>
      <c r="I44" s="294"/>
      <c r="J44" s="294"/>
      <c r="K44" s="294">
        <f t="shared" si="5"/>
        <v>2.0775999999999999</v>
      </c>
      <c r="L44" s="294">
        <f t="shared" si="6"/>
        <v>0.65207502833419961</v>
      </c>
      <c r="M44" s="297">
        <f t="shared" si="8"/>
        <v>3.7065695942730481</v>
      </c>
      <c r="N44" s="294">
        <v>1</v>
      </c>
      <c r="O44" s="294">
        <f t="shared" si="0"/>
        <v>3.7065695942730481</v>
      </c>
      <c r="P44" s="294"/>
    </row>
    <row r="45" spans="1:16">
      <c r="A45" s="294"/>
      <c r="B45" s="294" t="s">
        <v>254</v>
      </c>
      <c r="C45" s="294" t="s">
        <v>253</v>
      </c>
      <c r="D45" s="295" t="s">
        <v>1046</v>
      </c>
      <c r="E45" s="296">
        <v>8</v>
      </c>
      <c r="F45" s="294">
        <v>19</v>
      </c>
      <c r="G45" s="294">
        <v>14.8</v>
      </c>
      <c r="H45" s="294"/>
      <c r="I45" s="294"/>
      <c r="J45" s="294"/>
      <c r="K45" s="294">
        <f t="shared" si="5"/>
        <v>2.044</v>
      </c>
      <c r="L45" s="294">
        <f t="shared" si="6"/>
        <v>0.66918429216402076</v>
      </c>
      <c r="M45" s="297">
        <f t="shared" si="8"/>
        <v>3.7143330812827338</v>
      </c>
      <c r="N45" s="294">
        <v>0</v>
      </c>
      <c r="O45" s="294" t="str">
        <f t="shared" si="0"/>
        <v/>
      </c>
      <c r="P45" s="294"/>
    </row>
    <row r="46" spans="1:16">
      <c r="A46" s="294"/>
      <c r="B46" s="294" t="s">
        <v>254</v>
      </c>
      <c r="C46" s="294" t="s">
        <v>253</v>
      </c>
      <c r="D46" s="295" t="s">
        <v>1046</v>
      </c>
      <c r="E46" s="296">
        <v>9</v>
      </c>
      <c r="F46" s="294">
        <v>17.3</v>
      </c>
      <c r="G46" s="294">
        <v>13.4</v>
      </c>
      <c r="H46" s="294"/>
      <c r="I46" s="294"/>
      <c r="J46" s="294"/>
      <c r="K46" s="294">
        <f t="shared" si="5"/>
        <v>2.0848</v>
      </c>
      <c r="L46" s="294">
        <f t="shared" si="6"/>
        <v>0.64833691220128331</v>
      </c>
      <c r="M46" s="297">
        <f t="shared" si="8"/>
        <v>3.2728272351768397</v>
      </c>
      <c r="N46" s="294">
        <v>0</v>
      </c>
      <c r="O46" s="294" t="str">
        <f t="shared" si="0"/>
        <v/>
      </c>
      <c r="P46" s="294"/>
    </row>
    <row r="47" spans="1:16">
      <c r="A47" s="294"/>
      <c r="B47" s="294" t="s">
        <v>254</v>
      </c>
      <c r="C47" s="294" t="s">
        <v>253</v>
      </c>
      <c r="D47" s="295" t="s">
        <v>1041</v>
      </c>
      <c r="E47" s="296">
        <v>10</v>
      </c>
      <c r="F47" s="294">
        <v>10.4</v>
      </c>
      <c r="G47" s="294">
        <v>7.9</v>
      </c>
      <c r="H47" s="294"/>
      <c r="I47" s="294"/>
      <c r="J47" s="294"/>
      <c r="K47" s="294">
        <f t="shared" si="5"/>
        <v>2.2504</v>
      </c>
      <c r="L47" s="294">
        <f t="shared" si="6"/>
        <v>0.55648248816913681</v>
      </c>
      <c r="M47" s="297">
        <f t="shared" si="8"/>
        <v>1.8317444847160747</v>
      </c>
      <c r="N47" s="294">
        <v>0</v>
      </c>
      <c r="O47" s="294" t="str">
        <f t="shared" si="0"/>
        <v/>
      </c>
      <c r="P47" s="294"/>
    </row>
    <row r="48" spans="1:16">
      <c r="A48" s="294"/>
      <c r="B48" s="294" t="s">
        <v>254</v>
      </c>
      <c r="C48" s="294" t="s">
        <v>253</v>
      </c>
      <c r="D48" s="295" t="s">
        <v>1041</v>
      </c>
      <c r="E48" s="296">
        <v>11</v>
      </c>
      <c r="F48" s="294">
        <v>3.7</v>
      </c>
      <c r="G48" s="294">
        <v>5.0999999999999996</v>
      </c>
      <c r="H48" s="294"/>
      <c r="I48" s="294"/>
      <c r="J48" s="294"/>
      <c r="K48" s="294">
        <f t="shared" si="5"/>
        <v>2.4112</v>
      </c>
      <c r="L48" s="294">
        <f t="shared" si="6"/>
        <v>0.46090951699322635</v>
      </c>
      <c r="M48" s="297">
        <f t="shared" si="8"/>
        <v>1.1946490077012322</v>
      </c>
      <c r="N48" s="294">
        <v>0</v>
      </c>
      <c r="O48" s="294" t="str">
        <f t="shared" si="0"/>
        <v/>
      </c>
      <c r="P48" s="294"/>
    </row>
    <row r="49" spans="1:16">
      <c r="A49" s="294"/>
      <c r="B49" s="294" t="s">
        <v>254</v>
      </c>
      <c r="C49" s="294" t="s">
        <v>253</v>
      </c>
      <c r="D49" s="295" t="s">
        <v>1041</v>
      </c>
      <c r="E49" s="296">
        <v>12</v>
      </c>
      <c r="F49" s="294">
        <v>-0.2</v>
      </c>
      <c r="G49" s="294">
        <v>3</v>
      </c>
      <c r="H49" s="294"/>
      <c r="I49" s="294"/>
      <c r="J49" s="294"/>
      <c r="K49" s="294">
        <f t="shared" si="5"/>
        <v>2.5047999999999999</v>
      </c>
      <c r="L49" s="294">
        <f t="shared" si="6"/>
        <v>0.40534823579524998</v>
      </c>
      <c r="M49" s="297">
        <f t="shared" si="8"/>
        <v>0.87605122345421726</v>
      </c>
      <c r="N49" s="294">
        <v>0</v>
      </c>
      <c r="O49" s="294" t="str">
        <f t="shared" si="0"/>
        <v/>
      </c>
      <c r="P49" s="294"/>
    </row>
    <row r="50" spans="1:16">
      <c r="A50" s="294">
        <v>5</v>
      </c>
      <c r="B50" s="294" t="s">
        <v>254</v>
      </c>
      <c r="C50" s="294" t="s">
        <v>273</v>
      </c>
      <c r="D50" s="295" t="s">
        <v>1046</v>
      </c>
      <c r="E50" s="296">
        <v>1</v>
      </c>
      <c r="F50" s="294">
        <v>-0.9</v>
      </c>
      <c r="G50" s="294">
        <v>6.5</v>
      </c>
      <c r="H50" s="294"/>
      <c r="I50" s="294">
        <v>0.65900000000000003</v>
      </c>
      <c r="J50" s="294">
        <v>1</v>
      </c>
      <c r="K50" s="294">
        <f t="shared" si="5"/>
        <v>2.5215999999999998</v>
      </c>
      <c r="L50" s="294">
        <f t="shared" si="6"/>
        <v>0.39553668446706691</v>
      </c>
      <c r="M50" s="297">
        <f>$I$50*L50*(G50/K50)+$J$50</f>
        <v>1.6719072762986522</v>
      </c>
      <c r="N50" s="294">
        <v>0</v>
      </c>
      <c r="O50" s="294" t="str">
        <f t="shared" si="0"/>
        <v/>
      </c>
      <c r="P50" s="294">
        <f>AVERAGE(O50:O61)</f>
        <v>4.7960137955955</v>
      </c>
    </row>
    <row r="51" spans="1:16">
      <c r="A51" s="294"/>
      <c r="B51" s="294" t="s">
        <v>254</v>
      </c>
      <c r="C51" s="294" t="s">
        <v>273</v>
      </c>
      <c r="D51" s="295" t="s">
        <v>1046</v>
      </c>
      <c r="E51" s="296">
        <v>2</v>
      </c>
      <c r="F51" s="294">
        <v>0.1</v>
      </c>
      <c r="G51" s="294">
        <v>9.4</v>
      </c>
      <c r="H51" s="294"/>
      <c r="I51" s="294"/>
      <c r="J51" s="294"/>
      <c r="K51" s="294">
        <f t="shared" si="5"/>
        <v>2.4975999999999998</v>
      </c>
      <c r="L51" s="294">
        <f t="shared" si="6"/>
        <v>0.4095726154111004</v>
      </c>
      <c r="M51" s="297">
        <f t="shared" ref="M51:M61" si="9">$I$50*L51*(G51/K51)+$J$50</f>
        <v>2.0158306067527239</v>
      </c>
      <c r="N51" s="294">
        <v>0</v>
      </c>
      <c r="O51" s="294" t="str">
        <f t="shared" si="0"/>
        <v/>
      </c>
      <c r="P51" s="294"/>
    </row>
    <row r="52" spans="1:16">
      <c r="A52" s="294"/>
      <c r="B52" s="294" t="s">
        <v>254</v>
      </c>
      <c r="C52" s="294" t="s">
        <v>273</v>
      </c>
      <c r="D52" s="295" t="s">
        <v>1041</v>
      </c>
      <c r="E52" s="296">
        <v>3</v>
      </c>
      <c r="F52" s="294">
        <v>4.3</v>
      </c>
      <c r="G52" s="294">
        <v>13</v>
      </c>
      <c r="H52" s="294"/>
      <c r="I52" s="294"/>
      <c r="J52" s="294"/>
      <c r="K52" s="294">
        <f t="shared" si="5"/>
        <v>2.3967999999999998</v>
      </c>
      <c r="L52" s="294">
        <f t="shared" si="6"/>
        <v>0.46953327364651853</v>
      </c>
      <c r="M52" s="297">
        <f t="shared" si="9"/>
        <v>2.6782758491863006</v>
      </c>
      <c r="N52" s="294">
        <v>0</v>
      </c>
      <c r="O52" s="294" t="str">
        <f t="shared" si="0"/>
        <v/>
      </c>
      <c r="P52" s="294"/>
    </row>
    <row r="53" spans="1:16">
      <c r="A53" s="294"/>
      <c r="B53" s="294" t="s">
        <v>254</v>
      </c>
      <c r="C53" s="294" t="s">
        <v>273</v>
      </c>
      <c r="D53" s="295" t="s">
        <v>1046</v>
      </c>
      <c r="E53" s="296">
        <v>4</v>
      </c>
      <c r="F53" s="294">
        <v>8.3000000000000007</v>
      </c>
      <c r="G53" s="294">
        <v>17.100000000000001</v>
      </c>
      <c r="H53" s="294"/>
      <c r="I53" s="294"/>
      <c r="J53" s="294"/>
      <c r="K53" s="294">
        <f t="shared" si="5"/>
        <v>2.3008000000000002</v>
      </c>
      <c r="L53" s="294">
        <f t="shared" si="6"/>
        <v>0.52686406241145922</v>
      </c>
      <c r="M53" s="297">
        <f t="shared" si="9"/>
        <v>3.5804843675714939</v>
      </c>
      <c r="N53" s="294">
        <v>0</v>
      </c>
      <c r="O53" s="294" t="str">
        <f t="shared" si="0"/>
        <v/>
      </c>
      <c r="P53" s="294"/>
    </row>
    <row r="54" spans="1:16">
      <c r="A54" s="294"/>
      <c r="B54" s="294" t="s">
        <v>254</v>
      </c>
      <c r="C54" s="294" t="s">
        <v>273</v>
      </c>
      <c r="D54" s="295" t="s">
        <v>1046</v>
      </c>
      <c r="E54" s="296">
        <v>5</v>
      </c>
      <c r="F54" s="294">
        <v>13.2</v>
      </c>
      <c r="G54" s="294">
        <v>20.100000000000001</v>
      </c>
      <c r="H54" s="294"/>
      <c r="I54" s="294"/>
      <c r="J54" s="294"/>
      <c r="K54" s="294">
        <f t="shared" si="5"/>
        <v>2.1832000000000003</v>
      </c>
      <c r="L54" s="294">
        <f t="shared" si="6"/>
        <v>0.59496401387711539</v>
      </c>
      <c r="M54" s="297">
        <f t="shared" si="9"/>
        <v>4.6097626563827792</v>
      </c>
      <c r="N54" s="294">
        <v>0</v>
      </c>
      <c r="O54" s="294" t="str">
        <f t="shared" si="0"/>
        <v/>
      </c>
      <c r="P54" s="294"/>
    </row>
    <row r="55" spans="1:16">
      <c r="A55" s="294"/>
      <c r="B55" s="294" t="s">
        <v>254</v>
      </c>
      <c r="C55" s="294" t="s">
        <v>273</v>
      </c>
      <c r="D55" s="295" t="s">
        <v>1041</v>
      </c>
      <c r="E55" s="296">
        <v>6</v>
      </c>
      <c r="F55" s="294">
        <v>16.600000000000001</v>
      </c>
      <c r="G55" s="294">
        <v>17.899999999999999</v>
      </c>
      <c r="H55" s="294"/>
      <c r="I55" s="294"/>
      <c r="J55" s="294"/>
      <c r="K55" s="294">
        <f t="shared" si="5"/>
        <v>2.1015999999999999</v>
      </c>
      <c r="L55" s="294">
        <f t="shared" si="6"/>
        <v>0.63951976529868115</v>
      </c>
      <c r="M55" s="297">
        <f t="shared" si="9"/>
        <v>4.5895694249332752</v>
      </c>
      <c r="N55" s="294">
        <v>0</v>
      </c>
      <c r="O55" s="294" t="str">
        <f t="shared" si="0"/>
        <v/>
      </c>
      <c r="P55" s="294"/>
    </row>
    <row r="56" spans="1:16">
      <c r="A56" s="294"/>
      <c r="B56" s="294" t="s">
        <v>254</v>
      </c>
      <c r="C56" s="294" t="s">
        <v>273</v>
      </c>
      <c r="D56" s="295" t="s">
        <v>1041</v>
      </c>
      <c r="E56" s="296">
        <v>7</v>
      </c>
      <c r="F56" s="294">
        <v>21</v>
      </c>
      <c r="G56" s="294">
        <v>16.600000000000001</v>
      </c>
      <c r="H56" s="294"/>
      <c r="I56" s="294"/>
      <c r="J56" s="294"/>
      <c r="K56" s="294">
        <f t="shared" si="5"/>
        <v>1.996</v>
      </c>
      <c r="L56" s="294">
        <f t="shared" si="6"/>
        <v>0.69261966250512974</v>
      </c>
      <c r="M56" s="297">
        <f t="shared" si="9"/>
        <v>4.7960137955955</v>
      </c>
      <c r="N56" s="294">
        <v>1</v>
      </c>
      <c r="O56" s="294">
        <f t="shared" si="0"/>
        <v>4.7960137955955</v>
      </c>
      <c r="P56" s="294"/>
    </row>
    <row r="57" spans="1:16">
      <c r="A57" s="294"/>
      <c r="B57" s="294" t="s">
        <v>254</v>
      </c>
      <c r="C57" s="294" t="s">
        <v>273</v>
      </c>
      <c r="D57" s="295" t="s">
        <v>1041</v>
      </c>
      <c r="E57" s="296">
        <v>8</v>
      </c>
      <c r="F57" s="294">
        <v>22.2</v>
      </c>
      <c r="G57" s="294">
        <v>14.2</v>
      </c>
      <c r="H57" s="294"/>
      <c r="I57" s="294"/>
      <c r="J57" s="294"/>
      <c r="K57" s="294">
        <f t="shared" si="5"/>
        <v>1.9672000000000001</v>
      </c>
      <c r="L57" s="294">
        <f t="shared" si="6"/>
        <v>0.70608430100171982</v>
      </c>
      <c r="M57" s="297">
        <f t="shared" si="9"/>
        <v>4.358781858435286</v>
      </c>
      <c r="N57" s="294">
        <v>0</v>
      </c>
      <c r="O57" s="294" t="str">
        <f t="shared" si="0"/>
        <v/>
      </c>
      <c r="P57" s="294"/>
    </row>
    <row r="58" spans="1:16">
      <c r="A58" s="294"/>
      <c r="B58" s="294" t="s">
        <v>254</v>
      </c>
      <c r="C58" s="294" t="s">
        <v>273</v>
      </c>
      <c r="D58" s="295" t="s">
        <v>1041</v>
      </c>
      <c r="E58" s="296">
        <v>9</v>
      </c>
      <c r="F58" s="294">
        <v>18.2</v>
      </c>
      <c r="G58" s="294">
        <v>12.2</v>
      </c>
      <c r="H58" s="294"/>
      <c r="I58" s="294"/>
      <c r="J58" s="294"/>
      <c r="K58" s="294">
        <f t="shared" si="5"/>
        <v>2.0632000000000001</v>
      </c>
      <c r="L58" s="294">
        <f t="shared" si="6"/>
        <v>0.65947610324529615</v>
      </c>
      <c r="M58" s="297">
        <f t="shared" si="9"/>
        <v>3.5698216241137706</v>
      </c>
      <c r="N58" s="294">
        <v>0</v>
      </c>
      <c r="O58" s="294" t="str">
        <f t="shared" si="0"/>
        <v/>
      </c>
      <c r="P58" s="294"/>
    </row>
    <row r="59" spans="1:16">
      <c r="A59" s="294"/>
      <c r="B59" s="294" t="s">
        <v>254</v>
      </c>
      <c r="C59" s="294" t="s">
        <v>273</v>
      </c>
      <c r="D59" s="295" t="s">
        <v>1041</v>
      </c>
      <c r="E59" s="296">
        <v>10</v>
      </c>
      <c r="F59" s="294">
        <v>11</v>
      </c>
      <c r="G59" s="294">
        <v>10.7</v>
      </c>
      <c r="H59" s="294"/>
      <c r="I59" s="294"/>
      <c r="J59" s="294"/>
      <c r="K59" s="294">
        <f t="shared" si="5"/>
        <v>2.2359999999999998</v>
      </c>
      <c r="L59" s="294">
        <f t="shared" si="6"/>
        <v>0.56483929877471772</v>
      </c>
      <c r="M59" s="297">
        <f t="shared" si="9"/>
        <v>2.7812394219365686</v>
      </c>
      <c r="N59" s="294">
        <v>0</v>
      </c>
      <c r="O59" s="294" t="str">
        <f t="shared" si="0"/>
        <v/>
      </c>
      <c r="P59" s="294"/>
    </row>
    <row r="60" spans="1:16">
      <c r="A60" s="294"/>
      <c r="B60" s="294" t="s">
        <v>254</v>
      </c>
      <c r="C60" s="294" t="s">
        <v>273</v>
      </c>
      <c r="D60" s="295" t="s">
        <v>1046</v>
      </c>
      <c r="E60" s="296">
        <v>11</v>
      </c>
      <c r="F60" s="294">
        <v>7.3</v>
      </c>
      <c r="G60" s="294">
        <v>6.5</v>
      </c>
      <c r="H60" s="294"/>
      <c r="I60" s="294"/>
      <c r="J60" s="294"/>
      <c r="K60" s="294">
        <f t="shared" si="5"/>
        <v>2.3248000000000002</v>
      </c>
      <c r="L60" s="294">
        <f t="shared" si="6"/>
        <v>0.5126044692087397</v>
      </c>
      <c r="M60" s="297">
        <f t="shared" si="9"/>
        <v>1.9444860821815366</v>
      </c>
      <c r="N60" s="294">
        <v>0</v>
      </c>
      <c r="O60" s="294" t="str">
        <f t="shared" si="0"/>
        <v/>
      </c>
      <c r="P60" s="294"/>
    </row>
    <row r="61" spans="1:16">
      <c r="A61" s="294"/>
      <c r="B61" s="294" t="s">
        <v>254</v>
      </c>
      <c r="C61" s="294" t="s">
        <v>273</v>
      </c>
      <c r="D61" s="295" t="s">
        <v>1041</v>
      </c>
      <c r="E61" s="296">
        <v>12</v>
      </c>
      <c r="F61" s="294">
        <v>1.8</v>
      </c>
      <c r="G61" s="294">
        <v>5.0999999999999996</v>
      </c>
      <c r="H61" s="294"/>
      <c r="I61" s="294"/>
      <c r="J61" s="294"/>
      <c r="K61" s="294">
        <f t="shared" si="5"/>
        <v>2.4567999999999999</v>
      </c>
      <c r="L61" s="294">
        <f t="shared" si="6"/>
        <v>0.43369381997624579</v>
      </c>
      <c r="M61" s="297">
        <f t="shared" si="9"/>
        <v>1.5932927220604707</v>
      </c>
      <c r="N61" s="294">
        <v>0</v>
      </c>
      <c r="O61" s="294" t="str">
        <f t="shared" si="0"/>
        <v/>
      </c>
      <c r="P61" s="294"/>
    </row>
    <row r="62" spans="1:16">
      <c r="A62" s="294">
        <v>6</v>
      </c>
      <c r="B62" s="294" t="s">
        <v>254</v>
      </c>
      <c r="C62" s="294" t="s">
        <v>260</v>
      </c>
      <c r="D62" s="295" t="s">
        <v>1041</v>
      </c>
      <c r="E62" s="296">
        <v>1</v>
      </c>
      <c r="F62" s="294">
        <v>-3.9</v>
      </c>
      <c r="G62" s="294">
        <v>5.5</v>
      </c>
      <c r="H62" s="294"/>
      <c r="I62" s="294">
        <v>0.74</v>
      </c>
      <c r="J62" s="294">
        <v>0.37</v>
      </c>
      <c r="K62" s="294">
        <f t="shared" si="5"/>
        <v>2.5935999999999999</v>
      </c>
      <c r="L62" s="294">
        <f t="shared" si="6"/>
        <v>0.35437565881642696</v>
      </c>
      <c r="M62" s="297">
        <f>$I$62*L62*(G62/K62)+$J$62</f>
        <v>0.92610307348197785</v>
      </c>
      <c r="N62" s="294">
        <v>0</v>
      </c>
      <c r="O62" s="294" t="str">
        <f t="shared" si="0"/>
        <v/>
      </c>
      <c r="P62" s="294">
        <f>AVERAGE(O62:O73)</f>
        <v>4.8945647578604188</v>
      </c>
    </row>
    <row r="63" spans="1:16">
      <c r="A63" s="294"/>
      <c r="B63" s="294" t="s">
        <v>254</v>
      </c>
      <c r="C63" s="294" t="s">
        <v>260</v>
      </c>
      <c r="D63" s="295" t="s">
        <v>1046</v>
      </c>
      <c r="E63" s="296">
        <v>2</v>
      </c>
      <c r="F63" s="294">
        <v>-3.2</v>
      </c>
      <c r="G63" s="294">
        <v>8.3000000000000007</v>
      </c>
      <c r="H63" s="294"/>
      <c r="I63" s="294"/>
      <c r="J63" s="294"/>
      <c r="K63" s="294">
        <f t="shared" si="5"/>
        <v>2.5768</v>
      </c>
      <c r="L63" s="294">
        <f t="shared" si="6"/>
        <v>0.36383330626753496</v>
      </c>
      <c r="M63" s="297">
        <f t="shared" ref="M63:M72" si="10">$I$62*L63*(G63/K63)+$J$62</f>
        <v>1.2372245292980439</v>
      </c>
      <c r="N63" s="294">
        <v>0</v>
      </c>
      <c r="O63" s="294" t="str">
        <f t="shared" si="0"/>
        <v/>
      </c>
      <c r="P63" s="294"/>
    </row>
    <row r="64" spans="1:16">
      <c r="A64" s="294"/>
      <c r="B64" s="294" t="s">
        <v>254</v>
      </c>
      <c r="C64" s="294" t="s">
        <v>260</v>
      </c>
      <c r="D64" s="295" t="s">
        <v>1041</v>
      </c>
      <c r="E64" s="296">
        <v>3</v>
      </c>
      <c r="F64" s="294">
        <v>1.5</v>
      </c>
      <c r="G64" s="294">
        <v>12.2</v>
      </c>
      <c r="H64" s="294"/>
      <c r="I64" s="294"/>
      <c r="J64" s="294"/>
      <c r="K64" s="294">
        <f t="shared" si="5"/>
        <v>2.464</v>
      </c>
      <c r="L64" s="294">
        <f t="shared" si="6"/>
        <v>0.42941746917909795</v>
      </c>
      <c r="M64" s="297">
        <f t="shared" si="10"/>
        <v>1.9433688765214674</v>
      </c>
      <c r="N64" s="294">
        <v>0</v>
      </c>
      <c r="O64" s="294" t="str">
        <f t="shared" si="0"/>
        <v/>
      </c>
      <c r="P64" s="294"/>
    </row>
    <row r="65" spans="1:16">
      <c r="A65" s="294"/>
      <c r="B65" s="294" t="s">
        <v>254</v>
      </c>
      <c r="C65" s="294" t="s">
        <v>260</v>
      </c>
      <c r="D65" s="295" t="s">
        <v>1041</v>
      </c>
      <c r="E65" s="296">
        <v>4</v>
      </c>
      <c r="F65" s="294">
        <v>6.2</v>
      </c>
      <c r="G65" s="294">
        <v>17.399999999999999</v>
      </c>
      <c r="H65" s="294"/>
      <c r="I65" s="294"/>
      <c r="J65" s="294"/>
      <c r="K65" s="294">
        <f t="shared" si="5"/>
        <v>2.3512</v>
      </c>
      <c r="L65" s="294">
        <f t="shared" si="6"/>
        <v>0.49684368447763227</v>
      </c>
      <c r="M65" s="297">
        <f t="shared" si="10"/>
        <v>3.0908911540209223</v>
      </c>
      <c r="N65" s="294">
        <v>0</v>
      </c>
      <c r="O65" s="294" t="str">
        <f t="shared" si="0"/>
        <v/>
      </c>
      <c r="P65" s="294"/>
    </row>
    <row r="66" spans="1:16">
      <c r="A66" s="294"/>
      <c r="B66" s="294" t="s">
        <v>254</v>
      </c>
      <c r="C66" s="294" t="s">
        <v>260</v>
      </c>
      <c r="D66" s="295" t="s">
        <v>1046</v>
      </c>
      <c r="E66" s="296">
        <v>5</v>
      </c>
      <c r="F66" s="294">
        <v>11.7</v>
      </c>
      <c r="G66" s="294">
        <v>19.899999999999999</v>
      </c>
      <c r="H66" s="294"/>
      <c r="I66" s="294"/>
      <c r="J66" s="294"/>
      <c r="K66" s="294">
        <f t="shared" si="5"/>
        <v>2.2191999999999998</v>
      </c>
      <c r="L66" s="294">
        <f t="shared" si="6"/>
        <v>0.57451755988603115</v>
      </c>
      <c r="M66" s="297">
        <f t="shared" si="10"/>
        <v>4.1823402969005468</v>
      </c>
      <c r="N66" s="294">
        <v>0</v>
      </c>
      <c r="O66" s="294" t="str">
        <f t="shared" ref="O66:O129" si="11">IF(N66*M66=0,"",N66*M66)</f>
        <v/>
      </c>
      <c r="P66" s="294"/>
    </row>
    <row r="67" spans="1:16">
      <c r="A67" s="294"/>
      <c r="B67" s="294" t="s">
        <v>254</v>
      </c>
      <c r="C67" s="294" t="s">
        <v>260</v>
      </c>
      <c r="D67" s="295" t="s">
        <v>1041</v>
      </c>
      <c r="E67" s="296">
        <v>6</v>
      </c>
      <c r="F67" s="294">
        <v>12.3</v>
      </c>
      <c r="G67" s="294">
        <v>16.7</v>
      </c>
      <c r="H67" s="294"/>
      <c r="I67" s="294"/>
      <c r="J67" s="294"/>
      <c r="K67" s="294">
        <f t="shared" si="5"/>
        <v>2.2048000000000001</v>
      </c>
      <c r="L67" s="294">
        <f t="shared" si="6"/>
        <v>0.58274654668128933</v>
      </c>
      <c r="M67" s="297">
        <f t="shared" si="10"/>
        <v>3.6363197677283079</v>
      </c>
      <c r="N67" s="294">
        <v>0</v>
      </c>
      <c r="O67" s="294" t="str">
        <f t="shared" si="11"/>
        <v/>
      </c>
      <c r="P67" s="294"/>
    </row>
    <row r="68" spans="1:16">
      <c r="A68" s="294"/>
      <c r="B68" s="294" t="s">
        <v>254</v>
      </c>
      <c r="C68" s="294" t="s">
        <v>260</v>
      </c>
      <c r="D68" s="295" t="s">
        <v>1046</v>
      </c>
      <c r="E68" s="296">
        <v>7</v>
      </c>
      <c r="F68" s="294">
        <v>18.600000000000001</v>
      </c>
      <c r="G68" s="294">
        <v>18.899999999999999</v>
      </c>
      <c r="H68" s="294"/>
      <c r="I68" s="294"/>
      <c r="J68" s="294"/>
      <c r="K68" s="294">
        <f t="shared" si="5"/>
        <v>2.0535999999999999</v>
      </c>
      <c r="L68" s="294">
        <f t="shared" si="6"/>
        <v>0.66435336670543088</v>
      </c>
      <c r="M68" s="297">
        <f t="shared" si="10"/>
        <v>4.8945647578604188</v>
      </c>
      <c r="N68" s="294">
        <v>1</v>
      </c>
      <c r="O68" s="294">
        <f t="shared" si="11"/>
        <v>4.8945647578604188</v>
      </c>
      <c r="P68" s="294"/>
    </row>
    <row r="69" spans="1:16">
      <c r="A69" s="294"/>
      <c r="B69" s="294" t="s">
        <v>254</v>
      </c>
      <c r="C69" s="294" t="s">
        <v>260</v>
      </c>
      <c r="D69" s="295" t="s">
        <v>1041</v>
      </c>
      <c r="E69" s="296">
        <v>8</v>
      </c>
      <c r="F69" s="294">
        <v>18.600000000000001</v>
      </c>
      <c r="G69" s="294">
        <v>15.3</v>
      </c>
      <c r="H69" s="294"/>
      <c r="I69" s="294"/>
      <c r="J69" s="294"/>
      <c r="K69" s="294">
        <f t="shared" si="5"/>
        <v>2.0535999999999999</v>
      </c>
      <c r="L69" s="294">
        <f t="shared" si="6"/>
        <v>0.66435336670543088</v>
      </c>
      <c r="M69" s="297">
        <f t="shared" si="10"/>
        <v>4.0327428992203389</v>
      </c>
      <c r="N69" s="294">
        <v>0</v>
      </c>
      <c r="O69" s="294" t="str">
        <f t="shared" si="11"/>
        <v/>
      </c>
      <c r="P69" s="294"/>
    </row>
    <row r="70" spans="1:16">
      <c r="A70" s="294"/>
      <c r="B70" s="294" t="s">
        <v>254</v>
      </c>
      <c r="C70" s="294" t="s">
        <v>260</v>
      </c>
      <c r="D70" s="295" t="s">
        <v>1041</v>
      </c>
      <c r="E70" s="296">
        <v>9</v>
      </c>
      <c r="F70" s="294">
        <v>16.2</v>
      </c>
      <c r="G70" s="294">
        <v>12.9</v>
      </c>
      <c r="H70" s="294"/>
      <c r="I70" s="294"/>
      <c r="J70" s="294"/>
      <c r="K70" s="294">
        <f t="shared" si="5"/>
        <v>2.1112000000000002</v>
      </c>
      <c r="L70" s="294">
        <f t="shared" si="6"/>
        <v>0.63442324399527317</v>
      </c>
      <c r="M70" s="297">
        <f t="shared" si="10"/>
        <v>3.2386075630820756</v>
      </c>
      <c r="N70" s="294">
        <v>0</v>
      </c>
      <c r="O70" s="294" t="str">
        <f t="shared" si="11"/>
        <v/>
      </c>
      <c r="P70" s="294"/>
    </row>
    <row r="71" spans="1:16">
      <c r="A71" s="294"/>
      <c r="B71" s="294" t="s">
        <v>254</v>
      </c>
      <c r="C71" s="294" t="s">
        <v>260</v>
      </c>
      <c r="D71" s="295" t="s">
        <v>1041</v>
      </c>
      <c r="E71" s="296">
        <v>10</v>
      </c>
      <c r="F71" s="294">
        <v>10.1</v>
      </c>
      <c r="G71" s="294">
        <v>10.4</v>
      </c>
      <c r="H71" s="294"/>
      <c r="I71" s="294"/>
      <c r="J71" s="294"/>
      <c r="K71" s="294">
        <f t="shared" si="5"/>
        <v>2.2576000000000001</v>
      </c>
      <c r="L71" s="294">
        <f t="shared" si="6"/>
        <v>0.5522845613647327</v>
      </c>
      <c r="M71" s="297">
        <f t="shared" si="10"/>
        <v>2.2526993197479546</v>
      </c>
      <c r="N71" s="294">
        <v>0</v>
      </c>
      <c r="O71" s="294" t="str">
        <f t="shared" si="11"/>
        <v/>
      </c>
      <c r="P71" s="294"/>
    </row>
    <row r="72" spans="1:16">
      <c r="A72" s="294"/>
      <c r="B72" s="294" t="s">
        <v>254</v>
      </c>
      <c r="C72" s="294" t="s">
        <v>260</v>
      </c>
      <c r="D72" s="295" t="s">
        <v>1046</v>
      </c>
      <c r="E72" s="296">
        <v>11</v>
      </c>
      <c r="F72" s="294">
        <v>3.7</v>
      </c>
      <c r="G72" s="294">
        <v>5.3</v>
      </c>
      <c r="H72" s="294"/>
      <c r="I72" s="294"/>
      <c r="J72" s="294"/>
      <c r="K72" s="294">
        <f t="shared" si="5"/>
        <v>2.4112</v>
      </c>
      <c r="L72" s="294">
        <f t="shared" si="6"/>
        <v>0.46090951699322635</v>
      </c>
      <c r="M72" s="297">
        <f t="shared" si="10"/>
        <v>1.1197043487257106</v>
      </c>
      <c r="N72" s="294">
        <v>0</v>
      </c>
      <c r="O72" s="294" t="str">
        <f t="shared" si="11"/>
        <v/>
      </c>
      <c r="P72" s="294"/>
    </row>
    <row r="73" spans="1:16">
      <c r="A73" s="294"/>
      <c r="B73" s="294" t="s">
        <v>254</v>
      </c>
      <c r="C73" s="294" t="s">
        <v>260</v>
      </c>
      <c r="D73" s="295" t="s">
        <v>1046</v>
      </c>
      <c r="E73" s="296">
        <v>12</v>
      </c>
      <c r="F73" s="294">
        <v>-0.8</v>
      </c>
      <c r="G73" s="294">
        <v>5.0999999999999996</v>
      </c>
      <c r="H73" s="294"/>
      <c r="I73" s="294"/>
      <c r="J73" s="294"/>
      <c r="K73" s="294">
        <f t="shared" si="5"/>
        <v>2.5192000000000001</v>
      </c>
      <c r="L73" s="294">
        <f t="shared" si="6"/>
        <v>0.39693423538620415</v>
      </c>
      <c r="M73" s="297">
        <f>$I$62*L73*(G73/K73)+$J$62</f>
        <v>0.96464504777212379</v>
      </c>
      <c r="N73" s="294">
        <v>0</v>
      </c>
      <c r="O73" s="294" t="str">
        <f t="shared" si="11"/>
        <v/>
      </c>
      <c r="P73" s="294"/>
    </row>
    <row r="74" spans="1:16">
      <c r="A74" s="294">
        <v>7</v>
      </c>
      <c r="B74" s="294" t="s">
        <v>254</v>
      </c>
      <c r="C74" s="294" t="s">
        <v>264</v>
      </c>
      <c r="D74" s="295" t="s">
        <v>1041</v>
      </c>
      <c r="E74" s="296">
        <v>1</v>
      </c>
      <c r="F74" s="294">
        <v>-5.4</v>
      </c>
      <c r="G74" s="294">
        <v>7.7</v>
      </c>
      <c r="H74" s="294"/>
      <c r="I74" s="306">
        <v>0.91300000000000003</v>
      </c>
      <c r="J74" s="307">
        <v>-0.02</v>
      </c>
      <c r="K74" s="294">
        <f t="shared" si="5"/>
        <v>2.6295999999999999</v>
      </c>
      <c r="L74" s="294">
        <f>1/(1.05+1.4*EXP(-0.0604*F74))</f>
        <v>0.33446025543536845</v>
      </c>
      <c r="M74" s="297">
        <f>$I$74*L74*(G74/K74)+$J$74</f>
        <v>0.87416224586864311</v>
      </c>
      <c r="N74" s="294">
        <v>0</v>
      </c>
      <c r="O74" s="294" t="str">
        <f t="shared" si="11"/>
        <v/>
      </c>
      <c r="P74" s="294">
        <f>AVERAGE(O74:O85)</f>
        <v>5.6804033926979614</v>
      </c>
    </row>
    <row r="75" spans="1:16">
      <c r="A75" s="294"/>
      <c r="B75" s="294" t="s">
        <v>254</v>
      </c>
      <c r="C75" s="294" t="s">
        <v>264</v>
      </c>
      <c r="D75" s="295" t="s">
        <v>1041</v>
      </c>
      <c r="E75" s="296">
        <v>2</v>
      </c>
      <c r="F75" s="294">
        <v>-3.6</v>
      </c>
      <c r="G75" s="294">
        <v>10.5</v>
      </c>
      <c r="H75" s="294"/>
      <c r="I75" s="294"/>
      <c r="J75" s="294"/>
      <c r="K75" s="294">
        <f t="shared" si="5"/>
        <v>2.5863999999999998</v>
      </c>
      <c r="L75" s="294">
        <f t="shared" ref="L75:L85" si="12">1/(1.05+1.4*EXP(-0.0604*F75))</f>
        <v>0.35841687612586981</v>
      </c>
      <c r="M75" s="297">
        <f t="shared" ref="M75:M84" si="13">$I$74*L75*(G75/K75)+$J$74</f>
        <v>1.3084733154116344</v>
      </c>
      <c r="N75" s="294">
        <v>0</v>
      </c>
      <c r="O75" s="294" t="str">
        <f t="shared" si="11"/>
        <v/>
      </c>
      <c r="P75" s="294"/>
    </row>
    <row r="76" spans="1:16">
      <c r="A76" s="294"/>
      <c r="B76" s="294" t="s">
        <v>254</v>
      </c>
      <c r="C76" s="294" t="s">
        <v>264</v>
      </c>
      <c r="D76" s="295" t="s">
        <v>1041</v>
      </c>
      <c r="E76" s="296">
        <v>3</v>
      </c>
      <c r="F76" s="294">
        <v>1.8</v>
      </c>
      <c r="G76" s="294">
        <v>13.1</v>
      </c>
      <c r="H76" s="294"/>
      <c r="I76" s="294"/>
      <c r="J76" s="294"/>
      <c r="K76" s="294">
        <f t="shared" si="5"/>
        <v>2.4567999999999999</v>
      </c>
      <c r="L76" s="294">
        <f t="shared" si="12"/>
        <v>0.43369381997624579</v>
      </c>
      <c r="M76" s="297">
        <f t="shared" si="13"/>
        <v>2.0913270087357101</v>
      </c>
      <c r="N76" s="294">
        <v>0</v>
      </c>
      <c r="O76" s="294" t="str">
        <f t="shared" si="11"/>
        <v/>
      </c>
      <c r="P76" s="294"/>
    </row>
    <row r="77" spans="1:16">
      <c r="A77" s="294"/>
      <c r="B77" s="294" t="s">
        <v>254</v>
      </c>
      <c r="C77" s="294" t="s">
        <v>264</v>
      </c>
      <c r="D77" s="295" t="s">
        <v>1041</v>
      </c>
      <c r="E77" s="296">
        <v>4</v>
      </c>
      <c r="F77" s="294">
        <v>7.3</v>
      </c>
      <c r="G77" s="294">
        <v>17</v>
      </c>
      <c r="H77" s="294"/>
      <c r="I77" s="294"/>
      <c r="J77" s="294"/>
      <c r="K77" s="294">
        <f t="shared" si="5"/>
        <v>2.3248000000000002</v>
      </c>
      <c r="L77" s="294">
        <f>1/(1.05+1.4*EXP(-0.0604*F77))</f>
        <v>0.5126044692087397</v>
      </c>
      <c r="M77" s="297">
        <f t="shared" si="13"/>
        <v>3.4022874942312664</v>
      </c>
      <c r="N77" s="294">
        <v>0</v>
      </c>
      <c r="O77" s="294" t="str">
        <f t="shared" si="11"/>
        <v/>
      </c>
      <c r="P77" s="294"/>
    </row>
    <row r="78" spans="1:16">
      <c r="A78" s="294"/>
      <c r="B78" s="294" t="s">
        <v>254</v>
      </c>
      <c r="C78" s="294" t="s">
        <v>264</v>
      </c>
      <c r="D78" s="295" t="s">
        <v>1041</v>
      </c>
      <c r="E78" s="296">
        <v>5</v>
      </c>
      <c r="F78" s="294">
        <v>13.5</v>
      </c>
      <c r="G78" s="294">
        <v>21.4</v>
      </c>
      <c r="H78" s="294"/>
      <c r="I78" s="294"/>
      <c r="J78" s="294"/>
      <c r="K78" s="294">
        <f t="shared" si="5"/>
        <v>2.1760000000000002</v>
      </c>
      <c r="L78" s="294">
        <f t="shared" si="12"/>
        <v>0.59900066448276601</v>
      </c>
      <c r="M78" s="297">
        <f t="shared" si="13"/>
        <v>5.3583983376825275</v>
      </c>
      <c r="N78" s="294">
        <v>0</v>
      </c>
      <c r="O78" s="294" t="str">
        <f t="shared" si="11"/>
        <v/>
      </c>
      <c r="P78" s="294"/>
    </row>
    <row r="79" spans="1:16">
      <c r="A79" s="294"/>
      <c r="B79" s="294" t="s">
        <v>254</v>
      </c>
      <c r="C79" s="294" t="s">
        <v>264</v>
      </c>
      <c r="D79" s="295" t="s">
        <v>1041</v>
      </c>
      <c r="E79" s="296">
        <v>6</v>
      </c>
      <c r="F79" s="294">
        <v>15.3</v>
      </c>
      <c r="G79" s="294">
        <v>17.899999999999999</v>
      </c>
      <c r="H79" s="294"/>
      <c r="I79" s="294"/>
      <c r="J79" s="294"/>
      <c r="K79" s="294">
        <f t="shared" ref="K79:K85" si="14">2.5-0.024*F79</f>
        <v>2.1328</v>
      </c>
      <c r="L79" s="294">
        <f t="shared" si="12"/>
        <v>0.62280743428728291</v>
      </c>
      <c r="M79" s="297">
        <f t="shared" si="13"/>
        <v>4.7522970069049038</v>
      </c>
      <c r="N79" s="294">
        <v>0</v>
      </c>
      <c r="O79" s="294" t="str">
        <f t="shared" si="11"/>
        <v/>
      </c>
      <c r="P79" s="294"/>
    </row>
    <row r="80" spans="1:16">
      <c r="A80" s="294"/>
      <c r="B80" s="294" t="s">
        <v>254</v>
      </c>
      <c r="C80" s="294" t="s">
        <v>264</v>
      </c>
      <c r="D80" s="295" t="s">
        <v>1041</v>
      </c>
      <c r="E80" s="296">
        <v>7</v>
      </c>
      <c r="F80" s="294">
        <v>20.6</v>
      </c>
      <c r="G80" s="294">
        <v>18.2</v>
      </c>
      <c r="H80" s="294"/>
      <c r="I80" s="294"/>
      <c r="J80" s="294"/>
      <c r="K80" s="294">
        <f t="shared" si="14"/>
        <v>2.0055999999999998</v>
      </c>
      <c r="L80" s="294">
        <f t="shared" si="12"/>
        <v>0.68803058654568494</v>
      </c>
      <c r="M80" s="297">
        <f t="shared" si="13"/>
        <v>5.6804033926979614</v>
      </c>
      <c r="N80" s="294">
        <v>1</v>
      </c>
      <c r="O80" s="294">
        <f t="shared" si="11"/>
        <v>5.6804033926979614</v>
      </c>
      <c r="P80" s="294"/>
    </row>
    <row r="81" spans="1:16">
      <c r="A81" s="294"/>
      <c r="B81" s="294" t="s">
        <v>254</v>
      </c>
      <c r="C81" s="294" t="s">
        <v>264</v>
      </c>
      <c r="D81" s="295" t="s">
        <v>1046</v>
      </c>
      <c r="E81" s="296">
        <v>8</v>
      </c>
      <c r="F81" s="294">
        <v>20.100000000000001</v>
      </c>
      <c r="G81" s="294">
        <v>14.1</v>
      </c>
      <c r="H81" s="294"/>
      <c r="I81" s="294"/>
      <c r="J81" s="294"/>
      <c r="K81" s="294">
        <f t="shared" si="14"/>
        <v>2.0175999999999998</v>
      </c>
      <c r="L81" s="294">
        <f t="shared" si="12"/>
        <v>0.68222457536345948</v>
      </c>
      <c r="M81" s="297">
        <f t="shared" si="13"/>
        <v>4.3329349851439458</v>
      </c>
      <c r="N81" s="294">
        <v>0</v>
      </c>
      <c r="O81" s="294" t="str">
        <f t="shared" si="11"/>
        <v/>
      </c>
      <c r="P81" s="294"/>
    </row>
    <row r="82" spans="1:16">
      <c r="A82" s="294"/>
      <c r="B82" s="294" t="s">
        <v>254</v>
      </c>
      <c r="C82" s="294" t="s">
        <v>264</v>
      </c>
      <c r="D82" s="295" t="s">
        <v>1041</v>
      </c>
      <c r="E82" s="296">
        <v>9</v>
      </c>
      <c r="F82" s="294">
        <v>16.7</v>
      </c>
      <c r="G82" s="294">
        <v>12.6</v>
      </c>
      <c r="H82" s="294"/>
      <c r="I82" s="294"/>
      <c r="J82" s="294"/>
      <c r="K82" s="294">
        <f t="shared" si="14"/>
        <v>2.0992000000000002</v>
      </c>
      <c r="L82" s="294">
        <f t="shared" si="12"/>
        <v>0.64078736157508165</v>
      </c>
      <c r="M82" s="297">
        <f t="shared" si="13"/>
        <v>3.4915709080065858</v>
      </c>
      <c r="N82" s="294">
        <v>0</v>
      </c>
      <c r="O82" s="294" t="str">
        <f t="shared" si="11"/>
        <v/>
      </c>
      <c r="P82" s="294"/>
    </row>
    <row r="83" spans="1:16">
      <c r="A83" s="294"/>
      <c r="B83" s="294" t="s">
        <v>254</v>
      </c>
      <c r="C83" s="294" t="s">
        <v>264</v>
      </c>
      <c r="D83" s="295" t="s">
        <v>1041</v>
      </c>
      <c r="E83" s="296">
        <v>10</v>
      </c>
      <c r="F83" s="294">
        <v>9.4</v>
      </c>
      <c r="G83" s="294">
        <v>11.5</v>
      </c>
      <c r="H83" s="294"/>
      <c r="I83" s="294"/>
      <c r="J83" s="294"/>
      <c r="K83" s="294">
        <f t="shared" si="14"/>
        <v>2.2744</v>
      </c>
      <c r="L83" s="294">
        <f t="shared" si="12"/>
        <v>0.54244317029746025</v>
      </c>
      <c r="M83" s="297">
        <f t="shared" si="13"/>
        <v>2.4841250732229092</v>
      </c>
      <c r="N83" s="294">
        <v>0</v>
      </c>
      <c r="O83" s="294" t="str">
        <f t="shared" si="11"/>
        <v/>
      </c>
      <c r="P83" s="294"/>
    </row>
    <row r="84" spans="1:16" ht="12.75" customHeight="1">
      <c r="A84" s="294"/>
      <c r="B84" s="294" t="s">
        <v>254</v>
      </c>
      <c r="C84" s="294" t="s">
        <v>264</v>
      </c>
      <c r="D84" s="295" t="s">
        <v>1041</v>
      </c>
      <c r="E84" s="296">
        <v>11</v>
      </c>
      <c r="F84" s="294">
        <v>3.7</v>
      </c>
      <c r="G84" s="294">
        <v>6.8</v>
      </c>
      <c r="H84" s="294"/>
      <c r="I84" s="294"/>
      <c r="J84" s="294"/>
      <c r="K84" s="294">
        <f t="shared" si="14"/>
        <v>2.4112</v>
      </c>
      <c r="L84" s="294">
        <f t="shared" si="12"/>
        <v>0.46090951699322635</v>
      </c>
      <c r="M84" s="297">
        <f t="shared" si="13"/>
        <v>1.1667578986814642</v>
      </c>
      <c r="N84" s="294">
        <v>0</v>
      </c>
      <c r="O84" s="294" t="str">
        <f t="shared" si="11"/>
        <v/>
      </c>
      <c r="P84" s="294"/>
    </row>
    <row r="85" spans="1:16">
      <c r="A85" s="294"/>
      <c r="B85" s="294" t="s">
        <v>254</v>
      </c>
      <c r="C85" s="294" t="s">
        <v>264</v>
      </c>
      <c r="D85" s="295" t="s">
        <v>1041</v>
      </c>
      <c r="E85" s="296">
        <v>12</v>
      </c>
      <c r="F85" s="294">
        <v>-2.5</v>
      </c>
      <c r="G85" s="294">
        <v>6.7</v>
      </c>
      <c r="H85" s="294"/>
      <c r="I85" s="294"/>
      <c r="J85" s="294"/>
      <c r="K85" s="294">
        <f t="shared" si="14"/>
        <v>2.56</v>
      </c>
      <c r="L85" s="294">
        <f t="shared" si="12"/>
        <v>0.37338576168864573</v>
      </c>
      <c r="M85" s="297">
        <f>$I$74*L85*(G85/K85)+$J$74</f>
        <v>0.87220236047875577</v>
      </c>
      <c r="N85" s="294">
        <v>0</v>
      </c>
      <c r="O85" s="294" t="str">
        <f t="shared" si="11"/>
        <v/>
      </c>
      <c r="P85" s="294"/>
    </row>
    <row r="86" spans="1:16">
      <c r="A86" s="294">
        <v>8</v>
      </c>
      <c r="B86" s="294" t="s">
        <v>254</v>
      </c>
      <c r="C86" s="294" t="s">
        <v>536</v>
      </c>
      <c r="D86" s="295" t="s">
        <v>1041</v>
      </c>
      <c r="E86" s="296">
        <v>1</v>
      </c>
      <c r="F86" s="294">
        <v>-3.9</v>
      </c>
      <c r="G86" s="308">
        <f t="shared" ref="G86:G117" si="15">$T$11+$T$12*H86+INDEX($T$13:$T$24,MATCH(E86,$S$13:$S$24,0),1)</f>
        <v>6.0599983600000007</v>
      </c>
      <c r="H86" s="294">
        <v>89.2</v>
      </c>
      <c r="I86" s="306">
        <v>1.1080000000000001</v>
      </c>
      <c r="J86" s="307">
        <v>-0.13</v>
      </c>
      <c r="K86" s="294">
        <f>2.5-0.024*F86</f>
        <v>2.5935999999999999</v>
      </c>
      <c r="L86" s="294">
        <f>1/(1.05+1.4*EXP(-0.0604*F86))</f>
        <v>0.35437565881642696</v>
      </c>
      <c r="M86" s="309">
        <f>$I$86*L86*(G86/K86)+$J$86</f>
        <v>0.78743045560866209</v>
      </c>
      <c r="N86" s="294">
        <v>0</v>
      </c>
      <c r="O86" s="294" t="str">
        <f t="shared" si="11"/>
        <v/>
      </c>
      <c r="P86" s="294">
        <f>AVERAGE(O86:O97)</f>
        <v>5.365301556572831</v>
      </c>
    </row>
    <row r="87" spans="1:16">
      <c r="A87" s="294"/>
      <c r="B87" s="294" t="s">
        <v>254</v>
      </c>
      <c r="C87" s="294" t="s">
        <v>536</v>
      </c>
      <c r="D87" s="295" t="s">
        <v>1041</v>
      </c>
      <c r="E87" s="296">
        <v>2</v>
      </c>
      <c r="F87" s="294">
        <v>-3.2</v>
      </c>
      <c r="G87" s="308">
        <f t="shared" si="15"/>
        <v>8.2162272200000004</v>
      </c>
      <c r="H87" s="294">
        <v>83.4</v>
      </c>
      <c r="I87" s="297"/>
      <c r="J87" s="297"/>
      <c r="K87" s="294">
        <f t="shared" ref="K87:K150" si="16">2.5-0.024*F87</f>
        <v>2.5768</v>
      </c>
      <c r="L87" s="294">
        <f t="shared" ref="L87:L150" si="17">1/(1.05+1.4*EXP(-0.0604*F87))</f>
        <v>0.36383330626753496</v>
      </c>
      <c r="M87" s="309">
        <f t="shared" ref="M87:M97" si="18">$I$86*L87*(G87/K87)+$J$86</f>
        <v>1.1553871169138827</v>
      </c>
      <c r="N87" s="294">
        <v>0</v>
      </c>
      <c r="O87" s="294" t="str">
        <f t="shared" si="11"/>
        <v/>
      </c>
      <c r="P87" s="294"/>
    </row>
    <row r="88" spans="1:16">
      <c r="A88" s="294"/>
      <c r="B88" s="294" t="s">
        <v>254</v>
      </c>
      <c r="C88" s="294" t="s">
        <v>536</v>
      </c>
      <c r="D88" s="295" t="s">
        <v>1041</v>
      </c>
      <c r="E88" s="296">
        <v>3</v>
      </c>
      <c r="F88" s="294">
        <v>1.3</v>
      </c>
      <c r="G88" s="308">
        <f t="shared" si="15"/>
        <v>11.56944086</v>
      </c>
      <c r="H88" s="294">
        <v>121.2</v>
      </c>
      <c r="I88" s="297"/>
      <c r="J88" s="297"/>
      <c r="K88" s="294">
        <f t="shared" si="16"/>
        <v>2.4687999999999999</v>
      </c>
      <c r="L88" s="294">
        <f t="shared" si="17"/>
        <v>0.42657075115619864</v>
      </c>
      <c r="M88" s="309">
        <f t="shared" si="18"/>
        <v>2.0849161805504779</v>
      </c>
      <c r="N88" s="294">
        <v>0</v>
      </c>
      <c r="O88" s="294" t="str">
        <f t="shared" si="11"/>
        <v/>
      </c>
      <c r="P88" s="294"/>
    </row>
    <row r="89" spans="1:16">
      <c r="A89" s="294"/>
      <c r="B89" s="294" t="s">
        <v>254</v>
      </c>
      <c r="C89" s="294" t="s">
        <v>536</v>
      </c>
      <c r="D89" s="295" t="s">
        <v>1041</v>
      </c>
      <c r="E89" s="296">
        <v>4</v>
      </c>
      <c r="F89" s="294">
        <v>6.1</v>
      </c>
      <c r="G89" s="308">
        <f t="shared" si="15"/>
        <v>16.91400445</v>
      </c>
      <c r="H89" s="294">
        <v>196.5</v>
      </c>
      <c r="I89" s="297"/>
      <c r="J89" s="297"/>
      <c r="K89" s="294">
        <f t="shared" si="16"/>
        <v>2.3536000000000001</v>
      </c>
      <c r="L89" s="294">
        <f t="shared" si="17"/>
        <v>0.49540811078051672</v>
      </c>
      <c r="M89" s="309">
        <f t="shared" si="18"/>
        <v>3.8147243241251663</v>
      </c>
      <c r="N89" s="294">
        <v>0</v>
      </c>
      <c r="O89" s="294" t="str">
        <f t="shared" si="11"/>
        <v/>
      </c>
      <c r="P89" s="294"/>
    </row>
    <row r="90" spans="1:16">
      <c r="A90" s="294"/>
      <c r="B90" s="294" t="s">
        <v>254</v>
      </c>
      <c r="C90" s="294" t="s">
        <v>536</v>
      </c>
      <c r="D90" s="295" t="s">
        <v>1041</v>
      </c>
      <c r="E90" s="296">
        <v>5</v>
      </c>
      <c r="F90" s="294">
        <v>10.4</v>
      </c>
      <c r="G90" s="308">
        <f t="shared" si="15"/>
        <v>19.199238690000001</v>
      </c>
      <c r="H90" s="294">
        <v>207.3</v>
      </c>
      <c r="I90" s="297"/>
      <c r="J90" s="297"/>
      <c r="K90" s="294">
        <f t="shared" si="16"/>
        <v>2.2504</v>
      </c>
      <c r="L90" s="294">
        <f t="shared" si="17"/>
        <v>0.55648248816913681</v>
      </c>
      <c r="M90" s="309">
        <f t="shared" si="18"/>
        <v>5.1303610246258931</v>
      </c>
      <c r="N90" s="294">
        <v>0</v>
      </c>
      <c r="O90" s="294" t="str">
        <f t="shared" si="11"/>
        <v/>
      </c>
      <c r="P90" s="294"/>
    </row>
    <row r="91" spans="1:16">
      <c r="A91" s="294"/>
      <c r="B91" s="294" t="s">
        <v>254</v>
      </c>
      <c r="C91" s="294" t="s">
        <v>536</v>
      </c>
      <c r="D91" s="295" t="s">
        <v>1041</v>
      </c>
      <c r="E91" s="296">
        <v>6</v>
      </c>
      <c r="F91" s="294">
        <v>11.1</v>
      </c>
      <c r="G91" s="308">
        <f t="shared" si="15"/>
        <v>13.260735499999999</v>
      </c>
      <c r="H91" s="294">
        <v>75</v>
      </c>
      <c r="I91" s="297"/>
      <c r="J91" s="297"/>
      <c r="K91" s="294">
        <f t="shared" si="16"/>
        <v>2.2336</v>
      </c>
      <c r="L91" s="294">
        <f t="shared" si="17"/>
        <v>0.566226770414756</v>
      </c>
      <c r="M91" s="309">
        <f t="shared" si="18"/>
        <v>3.5947091898827677</v>
      </c>
      <c r="N91" s="294">
        <v>0</v>
      </c>
      <c r="O91" s="294" t="str">
        <f t="shared" si="11"/>
        <v/>
      </c>
      <c r="P91" s="294"/>
    </row>
    <row r="92" spans="1:16">
      <c r="A92" s="294"/>
      <c r="B92" s="294" t="s">
        <v>254</v>
      </c>
      <c r="C92" s="294" t="s">
        <v>536</v>
      </c>
      <c r="D92" s="295" t="s">
        <v>1041</v>
      </c>
      <c r="E92" s="296">
        <v>7</v>
      </c>
      <c r="F92" s="294">
        <v>17.5</v>
      </c>
      <c r="G92" s="308">
        <f t="shared" si="15"/>
        <v>15.850624509999999</v>
      </c>
      <c r="H92" s="294">
        <v>140.69999999999999</v>
      </c>
      <c r="I92" s="297"/>
      <c r="J92" s="297"/>
      <c r="K92" s="294">
        <f t="shared" si="16"/>
        <v>2.08</v>
      </c>
      <c r="L92" s="294">
        <f t="shared" si="17"/>
        <v>0.65083174219269035</v>
      </c>
      <c r="M92" s="309">
        <f t="shared" si="18"/>
        <v>5.365301556572831</v>
      </c>
      <c r="N92" s="294">
        <v>1</v>
      </c>
      <c r="O92" s="294">
        <f t="shared" si="11"/>
        <v>5.365301556572831</v>
      </c>
      <c r="P92" s="294"/>
    </row>
    <row r="93" spans="1:16">
      <c r="A93" s="294"/>
      <c r="B93" s="294" t="s">
        <v>254</v>
      </c>
      <c r="C93" s="294" t="s">
        <v>536</v>
      </c>
      <c r="D93" s="295" t="s">
        <v>1041</v>
      </c>
      <c r="E93" s="296">
        <v>8</v>
      </c>
      <c r="F93" s="294">
        <v>18.3</v>
      </c>
      <c r="G93" s="308">
        <f t="shared" si="15"/>
        <v>12.909312609999999</v>
      </c>
      <c r="H93" s="294">
        <v>92.7</v>
      </c>
      <c r="I93" s="297"/>
      <c r="J93" s="297"/>
      <c r="K93" s="294">
        <f t="shared" si="16"/>
        <v>2.0608</v>
      </c>
      <c r="L93" s="294">
        <f t="shared" si="17"/>
        <v>0.66069972168755697</v>
      </c>
      <c r="M93" s="309">
        <f t="shared" si="18"/>
        <v>4.4557582528406323</v>
      </c>
      <c r="N93" s="294">
        <v>0</v>
      </c>
      <c r="O93" s="294" t="str">
        <f t="shared" si="11"/>
        <v/>
      </c>
      <c r="P93" s="294"/>
    </row>
    <row r="94" spans="1:16">
      <c r="A94" s="294"/>
      <c r="B94" s="294" t="s">
        <v>254</v>
      </c>
      <c r="C94" s="294" t="s">
        <v>536</v>
      </c>
      <c r="D94" s="295" t="s">
        <v>1041</v>
      </c>
      <c r="E94" s="296">
        <v>9</v>
      </c>
      <c r="F94" s="294">
        <v>16.399999999999999</v>
      </c>
      <c r="G94" s="308">
        <f t="shared" si="15"/>
        <v>13.852453659999998</v>
      </c>
      <c r="H94" s="294">
        <v>152.19999999999999</v>
      </c>
      <c r="I94" s="297"/>
      <c r="J94" s="297"/>
      <c r="K94" s="294">
        <f t="shared" si="16"/>
        <v>2.1063999999999998</v>
      </c>
      <c r="L94" s="294">
        <f t="shared" si="17"/>
        <v>0.63697670153836161</v>
      </c>
      <c r="M94" s="309">
        <f t="shared" si="18"/>
        <v>4.5114018166256482</v>
      </c>
      <c r="N94" s="294">
        <v>0</v>
      </c>
      <c r="O94" s="294" t="str">
        <f t="shared" si="11"/>
        <v/>
      </c>
      <c r="P94" s="294"/>
    </row>
    <row r="95" spans="1:16">
      <c r="A95" s="294"/>
      <c r="B95" s="294" t="s">
        <v>254</v>
      </c>
      <c r="C95" s="294" t="s">
        <v>536</v>
      </c>
      <c r="D95" s="295" t="s">
        <v>1041</v>
      </c>
      <c r="E95" s="296">
        <v>10</v>
      </c>
      <c r="F95" s="294">
        <v>9.1999999999999993</v>
      </c>
      <c r="G95" s="308">
        <f t="shared" si="15"/>
        <v>10.359664079999998</v>
      </c>
      <c r="H95" s="294">
        <v>141.6</v>
      </c>
      <c r="I95" s="297"/>
      <c r="J95" s="297"/>
      <c r="K95" s="294">
        <f t="shared" si="16"/>
        <v>2.2791999999999999</v>
      </c>
      <c r="L95" s="294">
        <f t="shared" si="17"/>
        <v>0.53962031736309635</v>
      </c>
      <c r="M95" s="309">
        <f t="shared" si="18"/>
        <v>2.5876360223921258</v>
      </c>
      <c r="N95" s="294">
        <v>0</v>
      </c>
      <c r="O95" s="294" t="str">
        <f t="shared" si="11"/>
        <v/>
      </c>
      <c r="P95" s="294"/>
    </row>
    <row r="96" spans="1:16">
      <c r="A96" s="294"/>
      <c r="B96" s="294" t="s">
        <v>254</v>
      </c>
      <c r="C96" s="294" t="s">
        <v>536</v>
      </c>
      <c r="D96" s="295" t="s">
        <v>1041</v>
      </c>
      <c r="E96" s="296">
        <v>11</v>
      </c>
      <c r="F96" s="294">
        <v>3.2</v>
      </c>
      <c r="G96" s="308">
        <f t="shared" si="15"/>
        <v>6.7495930199999989</v>
      </c>
      <c r="H96" s="294">
        <v>91.4</v>
      </c>
      <c r="I96" s="297"/>
      <c r="J96" s="297"/>
      <c r="K96" s="294">
        <f t="shared" si="16"/>
        <v>2.4232</v>
      </c>
      <c r="L96" s="294">
        <f t="shared" si="17"/>
        <v>0.45373046962916019</v>
      </c>
      <c r="M96" s="309">
        <f t="shared" si="18"/>
        <v>1.2703159375757238</v>
      </c>
      <c r="N96" s="294">
        <v>0</v>
      </c>
      <c r="O96" s="294" t="str">
        <f t="shared" si="11"/>
        <v/>
      </c>
      <c r="P96" s="294"/>
    </row>
    <row r="97" spans="1:16">
      <c r="A97" s="294"/>
      <c r="B97" s="294" t="s">
        <v>254</v>
      </c>
      <c r="C97" s="294" t="s">
        <v>536</v>
      </c>
      <c r="D97" s="295" t="s">
        <v>1041</v>
      </c>
      <c r="E97" s="296">
        <v>12</v>
      </c>
      <c r="F97" s="294">
        <v>-1.4</v>
      </c>
      <c r="G97" s="308">
        <f t="shared" si="15"/>
        <v>5.0128779499999991</v>
      </c>
      <c r="H97" s="294">
        <v>81.5</v>
      </c>
      <c r="I97" s="297"/>
      <c r="J97" s="297"/>
      <c r="K97" s="294">
        <f t="shared" si="16"/>
        <v>2.5335999999999999</v>
      </c>
      <c r="L97" s="294">
        <f t="shared" si="17"/>
        <v>0.38857082772847418</v>
      </c>
      <c r="M97" s="309">
        <f t="shared" si="18"/>
        <v>0.72184196907219567</v>
      </c>
      <c r="N97" s="294">
        <v>0</v>
      </c>
      <c r="O97" s="294" t="str">
        <f t="shared" si="11"/>
        <v/>
      </c>
      <c r="P97" s="294"/>
    </row>
    <row r="98" spans="1:16">
      <c r="A98" s="294">
        <v>9</v>
      </c>
      <c r="B98" s="294" t="s">
        <v>254</v>
      </c>
      <c r="C98" s="294" t="s">
        <v>537</v>
      </c>
      <c r="D98" s="295" t="s">
        <v>1046</v>
      </c>
      <c r="E98" s="296">
        <v>1</v>
      </c>
      <c r="F98" s="294">
        <v>-2.6</v>
      </c>
      <c r="G98" s="308">
        <f t="shared" si="15"/>
        <v>4.0799088100000001</v>
      </c>
      <c r="H98" s="294">
        <v>45.7</v>
      </c>
      <c r="I98" s="306">
        <v>0.628</v>
      </c>
      <c r="J98" s="307">
        <v>0.83</v>
      </c>
      <c r="K98" s="294">
        <f t="shared" si="16"/>
        <v>2.5623999999999998</v>
      </c>
      <c r="L98" s="294">
        <f t="shared" si="17"/>
        <v>0.37201559133872025</v>
      </c>
      <c r="M98" s="309">
        <f>$I$98*L98*(G98/K98)+$J$98</f>
        <v>1.2019840479299908</v>
      </c>
      <c r="N98" s="294">
        <v>0</v>
      </c>
      <c r="O98" s="294" t="str">
        <f t="shared" si="11"/>
        <v/>
      </c>
      <c r="P98" s="294">
        <f>AVERAGE(O98:O109)</f>
        <v>4.1170030033943172</v>
      </c>
    </row>
    <row r="99" spans="1:16">
      <c r="A99" s="294"/>
      <c r="B99" s="294" t="s">
        <v>254</v>
      </c>
      <c r="C99" s="294" t="s">
        <v>537</v>
      </c>
      <c r="D99" s="295" t="s">
        <v>1041</v>
      </c>
      <c r="E99" s="296">
        <v>2</v>
      </c>
      <c r="F99" s="294">
        <v>-2.4</v>
      </c>
      <c r="G99" s="308">
        <f t="shared" si="15"/>
        <v>8.3846486299999992</v>
      </c>
      <c r="H99" s="294">
        <v>87.1</v>
      </c>
      <c r="I99" s="297"/>
      <c r="J99" s="297"/>
      <c r="K99" s="294">
        <f t="shared" si="16"/>
        <v>2.5575999999999999</v>
      </c>
      <c r="L99" s="294">
        <f t="shared" si="17"/>
        <v>0.3747577198666579</v>
      </c>
      <c r="M99" s="309">
        <f t="shared" ref="M99:M109" si="19">$I$98*L99*(G99/K99)+$J$98</f>
        <v>1.6015471582522955</v>
      </c>
      <c r="N99" s="294">
        <v>0</v>
      </c>
      <c r="O99" s="294" t="str">
        <f t="shared" si="11"/>
        <v/>
      </c>
      <c r="P99" s="294"/>
    </row>
    <row r="100" spans="1:16">
      <c r="A100" s="294"/>
      <c r="B100" s="294" t="s">
        <v>254</v>
      </c>
      <c r="C100" s="294" t="s">
        <v>537</v>
      </c>
      <c r="D100" s="295" t="s">
        <v>1041</v>
      </c>
      <c r="E100" s="296">
        <v>3</v>
      </c>
      <c r="F100" s="294">
        <v>2.8</v>
      </c>
      <c r="G100" s="308">
        <f t="shared" si="15"/>
        <v>11.305428920000001</v>
      </c>
      <c r="H100" s="294">
        <v>115.4</v>
      </c>
      <c r="I100" s="297"/>
      <c r="J100" s="297"/>
      <c r="K100" s="294">
        <f t="shared" si="16"/>
        <v>2.4327999999999999</v>
      </c>
      <c r="L100" s="294">
        <f t="shared" si="17"/>
        <v>0.44799443281837215</v>
      </c>
      <c r="M100" s="309">
        <f t="shared" si="19"/>
        <v>2.1374132966706019</v>
      </c>
      <c r="N100" s="294">
        <v>0</v>
      </c>
      <c r="O100" s="294" t="str">
        <f t="shared" si="11"/>
        <v/>
      </c>
      <c r="P100" s="294"/>
    </row>
    <row r="101" spans="1:16">
      <c r="A101" s="294"/>
      <c r="B101" s="294" t="s">
        <v>254</v>
      </c>
      <c r="C101" s="294" t="s">
        <v>537</v>
      </c>
      <c r="D101" s="295" t="s">
        <v>1046</v>
      </c>
      <c r="E101" s="296">
        <v>4</v>
      </c>
      <c r="F101" s="294">
        <v>6.7</v>
      </c>
      <c r="G101" s="308">
        <f t="shared" si="15"/>
        <v>16.93221217</v>
      </c>
      <c r="H101" s="294">
        <v>196.9</v>
      </c>
      <c r="I101" s="297"/>
      <c r="J101" s="297"/>
      <c r="K101" s="294">
        <f t="shared" si="16"/>
        <v>2.3391999999999999</v>
      </c>
      <c r="L101" s="294">
        <f t="shared" si="17"/>
        <v>0.50401539269658691</v>
      </c>
      <c r="M101" s="309">
        <f t="shared" si="19"/>
        <v>3.1211303075842394</v>
      </c>
      <c r="N101" s="294">
        <v>0</v>
      </c>
      <c r="O101" s="294" t="str">
        <f t="shared" si="11"/>
        <v/>
      </c>
      <c r="P101" s="294"/>
    </row>
    <row r="102" spans="1:16">
      <c r="A102" s="294"/>
      <c r="B102" s="294" t="s">
        <v>254</v>
      </c>
      <c r="C102" s="294" t="s">
        <v>537</v>
      </c>
      <c r="D102" s="295" t="s">
        <v>1041</v>
      </c>
      <c r="E102" s="296">
        <v>5</v>
      </c>
      <c r="F102" s="294">
        <v>11.9</v>
      </c>
      <c r="G102" s="308">
        <f t="shared" si="15"/>
        <v>20.014034160000001</v>
      </c>
      <c r="H102" s="294">
        <v>225.2</v>
      </c>
      <c r="I102" s="297"/>
      <c r="J102" s="297"/>
      <c r="K102" s="294">
        <f t="shared" si="16"/>
        <v>2.2143999999999999</v>
      </c>
      <c r="L102" s="294">
        <f t="shared" si="17"/>
        <v>0.57726765540955094</v>
      </c>
      <c r="M102" s="309">
        <f t="shared" si="19"/>
        <v>4.1065396825294229</v>
      </c>
      <c r="N102" s="294">
        <v>0</v>
      </c>
      <c r="O102" s="294" t="str">
        <f t="shared" si="11"/>
        <v/>
      </c>
      <c r="P102" s="294"/>
    </row>
    <row r="103" spans="1:16">
      <c r="A103" s="294"/>
      <c r="B103" s="294" t="s">
        <v>254</v>
      </c>
      <c r="C103" s="294" t="s">
        <v>537</v>
      </c>
      <c r="D103" s="295" t="s">
        <v>1041</v>
      </c>
      <c r="E103" s="296">
        <v>6</v>
      </c>
      <c r="F103" s="294">
        <v>14.5</v>
      </c>
      <c r="G103" s="308">
        <f t="shared" si="15"/>
        <v>15.92816648</v>
      </c>
      <c r="H103" s="294">
        <v>133.6</v>
      </c>
      <c r="I103" s="297"/>
      <c r="J103" s="297"/>
      <c r="K103" s="294">
        <f t="shared" si="16"/>
        <v>2.1520000000000001</v>
      </c>
      <c r="L103" s="294">
        <f t="shared" si="17"/>
        <v>0.61231732805409467</v>
      </c>
      <c r="M103" s="309">
        <f t="shared" si="19"/>
        <v>3.6761626344869884</v>
      </c>
      <c r="N103" s="294">
        <v>0</v>
      </c>
      <c r="O103" s="294" t="str">
        <f t="shared" si="11"/>
        <v/>
      </c>
      <c r="P103" s="294"/>
    </row>
    <row r="104" spans="1:16">
      <c r="A104" s="294"/>
      <c r="B104" s="294" t="s">
        <v>254</v>
      </c>
      <c r="C104" s="294" t="s">
        <v>537</v>
      </c>
      <c r="D104" s="295" t="s">
        <v>1041</v>
      </c>
      <c r="E104" s="296">
        <v>7</v>
      </c>
      <c r="F104" s="294">
        <v>18.8</v>
      </c>
      <c r="G104" s="308">
        <f t="shared" si="15"/>
        <v>16.082772939999998</v>
      </c>
      <c r="H104" s="294">
        <v>145.80000000000001</v>
      </c>
      <c r="I104" s="297"/>
      <c r="J104" s="297"/>
      <c r="K104" s="294">
        <f t="shared" si="16"/>
        <v>2.0488</v>
      </c>
      <c r="L104" s="294">
        <f t="shared" si="17"/>
        <v>0.66677466843060351</v>
      </c>
      <c r="M104" s="309">
        <f t="shared" si="19"/>
        <v>4.1170030033943172</v>
      </c>
      <c r="N104" s="294">
        <v>1</v>
      </c>
      <c r="O104" s="294">
        <f t="shared" si="11"/>
        <v>4.1170030033943172</v>
      </c>
      <c r="P104" s="294"/>
    </row>
    <row r="105" spans="1:16">
      <c r="A105" s="294"/>
      <c r="B105" s="294" t="s">
        <v>254</v>
      </c>
      <c r="C105" s="294" t="s">
        <v>537</v>
      </c>
      <c r="D105" s="295" t="s">
        <v>1041</v>
      </c>
      <c r="E105" s="296">
        <v>8</v>
      </c>
      <c r="F105" s="294">
        <v>20.8</v>
      </c>
      <c r="G105" s="308">
        <f t="shared" si="15"/>
        <v>18.458115280000001</v>
      </c>
      <c r="H105" s="294">
        <v>214.6</v>
      </c>
      <c r="I105" s="297"/>
      <c r="J105" s="297"/>
      <c r="K105" s="294">
        <f t="shared" si="16"/>
        <v>2.0007999999999999</v>
      </c>
      <c r="L105" s="294">
        <f t="shared" si="17"/>
        <v>0.69033135678862079</v>
      </c>
      <c r="M105" s="309">
        <f t="shared" si="19"/>
        <v>4.8294559678238675</v>
      </c>
      <c r="N105" s="294">
        <v>0</v>
      </c>
      <c r="O105" s="294" t="str">
        <f t="shared" si="11"/>
        <v/>
      </c>
      <c r="P105" s="294"/>
    </row>
    <row r="106" spans="1:16">
      <c r="A106" s="294"/>
      <c r="B106" s="294" t="s">
        <v>254</v>
      </c>
      <c r="C106" s="294" t="s">
        <v>537</v>
      </c>
      <c r="D106" s="295" t="s">
        <v>1041</v>
      </c>
      <c r="E106" s="296">
        <v>9</v>
      </c>
      <c r="F106" s="294">
        <v>17.3</v>
      </c>
      <c r="G106" s="308">
        <f t="shared" si="15"/>
        <v>14.6171779</v>
      </c>
      <c r="H106" s="294">
        <v>169</v>
      </c>
      <c r="I106" s="297"/>
      <c r="J106" s="297"/>
      <c r="K106" s="294">
        <f t="shared" si="16"/>
        <v>2.0848</v>
      </c>
      <c r="L106" s="294">
        <f t="shared" si="17"/>
        <v>0.64833691220128331</v>
      </c>
      <c r="M106" s="309">
        <f t="shared" si="19"/>
        <v>3.6846937636433341</v>
      </c>
      <c r="N106" s="294">
        <v>0</v>
      </c>
      <c r="O106" s="294" t="str">
        <f t="shared" si="11"/>
        <v/>
      </c>
      <c r="P106" s="294"/>
    </row>
    <row r="107" spans="1:16">
      <c r="A107" s="294"/>
      <c r="B107" s="294" t="s">
        <v>254</v>
      </c>
      <c r="C107" s="294" t="s">
        <v>537</v>
      </c>
      <c r="D107" s="295" t="s">
        <v>1041</v>
      </c>
      <c r="E107" s="296">
        <v>10</v>
      </c>
      <c r="F107" s="294">
        <v>10.5</v>
      </c>
      <c r="G107" s="308">
        <f t="shared" si="15"/>
        <v>8.7619366499999991</v>
      </c>
      <c r="H107" s="294">
        <v>106.5</v>
      </c>
      <c r="I107" s="297"/>
      <c r="J107" s="297"/>
      <c r="K107" s="294">
        <f t="shared" si="16"/>
        <v>2.2480000000000002</v>
      </c>
      <c r="L107" s="294">
        <f t="shared" si="17"/>
        <v>0.55787898239898637</v>
      </c>
      <c r="M107" s="309">
        <f t="shared" si="19"/>
        <v>2.1955369171476549</v>
      </c>
      <c r="N107" s="294">
        <v>0</v>
      </c>
      <c r="O107" s="294" t="str">
        <f t="shared" si="11"/>
        <v/>
      </c>
      <c r="P107" s="294"/>
    </row>
    <row r="108" spans="1:16">
      <c r="A108" s="294"/>
      <c r="B108" s="294" t="s">
        <v>254</v>
      </c>
      <c r="C108" s="294" t="s">
        <v>537</v>
      </c>
      <c r="D108" s="295" t="s">
        <v>1041</v>
      </c>
      <c r="E108" s="296">
        <v>11</v>
      </c>
      <c r="F108" s="294">
        <v>4</v>
      </c>
      <c r="G108" s="308">
        <f t="shared" si="15"/>
        <v>6.6858660000000008</v>
      </c>
      <c r="H108" s="294">
        <v>90</v>
      </c>
      <c r="I108" s="297"/>
      <c r="J108" s="297"/>
      <c r="K108" s="294">
        <f t="shared" si="16"/>
        <v>2.4039999999999999</v>
      </c>
      <c r="L108" s="294">
        <f t="shared" si="17"/>
        <v>0.46522049539143712</v>
      </c>
      <c r="M108" s="309">
        <f t="shared" si="19"/>
        <v>1.6425342714552418</v>
      </c>
      <c r="N108" s="294">
        <v>0</v>
      </c>
      <c r="O108" s="294" t="str">
        <f t="shared" si="11"/>
        <v/>
      </c>
      <c r="P108" s="294"/>
    </row>
    <row r="109" spans="1:16">
      <c r="A109" s="294"/>
      <c r="B109" s="294" t="s">
        <v>254</v>
      </c>
      <c r="C109" s="294" t="s">
        <v>537</v>
      </c>
      <c r="D109" s="295" t="s">
        <v>1041</v>
      </c>
      <c r="E109" s="296">
        <v>12</v>
      </c>
      <c r="F109" s="294">
        <v>0.4</v>
      </c>
      <c r="G109" s="308">
        <f t="shared" si="15"/>
        <v>3.0828596300000006</v>
      </c>
      <c r="H109" s="294">
        <v>39.1</v>
      </c>
      <c r="I109" s="297"/>
      <c r="J109" s="297"/>
      <c r="K109" s="294">
        <f t="shared" si="16"/>
        <v>2.4904000000000002</v>
      </c>
      <c r="L109" s="294">
        <f t="shared" si="17"/>
        <v>0.41380771688409085</v>
      </c>
      <c r="M109" s="309">
        <f t="shared" si="19"/>
        <v>1.1516939342746804</v>
      </c>
      <c r="N109" s="294">
        <v>0</v>
      </c>
      <c r="O109" s="294" t="str">
        <f t="shared" si="11"/>
        <v/>
      </c>
      <c r="P109" s="294"/>
    </row>
    <row r="110" spans="1:16">
      <c r="A110" s="294">
        <v>10</v>
      </c>
      <c r="B110" s="294" t="s">
        <v>254</v>
      </c>
      <c r="C110" s="294" t="s">
        <v>538</v>
      </c>
      <c r="D110" s="295" t="s">
        <v>1041</v>
      </c>
      <c r="E110" s="296">
        <v>1</v>
      </c>
      <c r="F110" s="294">
        <v>-4.5999999999999996</v>
      </c>
      <c r="G110" s="308">
        <f t="shared" si="15"/>
        <v>5.7959864200000011</v>
      </c>
      <c r="H110" s="294">
        <v>83.4</v>
      </c>
      <c r="I110" s="306">
        <v>1.006</v>
      </c>
      <c r="J110" s="307">
        <v>-0.47</v>
      </c>
      <c r="K110" s="294">
        <f t="shared" si="16"/>
        <v>2.6103999999999998</v>
      </c>
      <c r="L110" s="294">
        <f t="shared" si="17"/>
        <v>0.34501973711558281</v>
      </c>
      <c r="M110" s="309">
        <f>$I$110*L110*(G110/K110)+$J$110</f>
        <v>0.3006589370286592</v>
      </c>
      <c r="N110" s="294">
        <v>0</v>
      </c>
      <c r="O110" s="294" t="str">
        <f t="shared" si="11"/>
        <v/>
      </c>
      <c r="P110" s="294">
        <f>AVERAGE(O110:O121)</f>
        <v>4.8498101310190274</v>
      </c>
    </row>
    <row r="111" spans="1:16">
      <c r="A111" s="294"/>
      <c r="B111" s="294" t="s">
        <v>254</v>
      </c>
      <c r="C111" s="294" t="s">
        <v>538</v>
      </c>
      <c r="D111" s="295" t="s">
        <v>1046</v>
      </c>
      <c r="E111" s="296">
        <v>2</v>
      </c>
      <c r="F111" s="294">
        <v>-3.9</v>
      </c>
      <c r="G111" s="308">
        <f t="shared" si="15"/>
        <v>8.8580493499999999</v>
      </c>
      <c r="H111" s="294">
        <v>97.5</v>
      </c>
      <c r="I111" s="297"/>
      <c r="J111" s="297"/>
      <c r="K111" s="294">
        <f t="shared" si="16"/>
        <v>2.5935999999999999</v>
      </c>
      <c r="L111" s="294">
        <f t="shared" si="17"/>
        <v>0.35437565881642696</v>
      </c>
      <c r="M111" s="309">
        <f t="shared" ref="M111:M121" si="20">$I$110*L111*(G111/K111)+$J$110</f>
        <v>0.74757847651144393</v>
      </c>
      <c r="N111" s="294">
        <v>0</v>
      </c>
      <c r="O111" s="294" t="str">
        <f t="shared" si="11"/>
        <v/>
      </c>
      <c r="P111" s="294"/>
    </row>
    <row r="112" spans="1:16">
      <c r="A112" s="294"/>
      <c r="B112" s="294" t="s">
        <v>254</v>
      </c>
      <c r="C112" s="294" t="s">
        <v>538</v>
      </c>
      <c r="D112" s="295" t="s">
        <v>1041</v>
      </c>
      <c r="E112" s="296">
        <v>3</v>
      </c>
      <c r="F112" s="294">
        <v>0.8</v>
      </c>
      <c r="G112" s="308">
        <f t="shared" si="15"/>
        <v>12.01097807</v>
      </c>
      <c r="H112" s="294">
        <v>130.9</v>
      </c>
      <c r="I112" s="297"/>
      <c r="J112" s="297"/>
      <c r="K112" s="294">
        <f t="shared" si="16"/>
        <v>2.4807999999999999</v>
      </c>
      <c r="L112" s="294">
        <f t="shared" si="17"/>
        <v>0.41947006088789601</v>
      </c>
      <c r="M112" s="309">
        <f t="shared" si="20"/>
        <v>1.5730809321832313</v>
      </c>
      <c r="N112" s="294">
        <v>0</v>
      </c>
      <c r="O112" s="294" t="str">
        <f t="shared" si="11"/>
        <v/>
      </c>
      <c r="P112" s="294"/>
    </row>
    <row r="113" spans="1:16">
      <c r="A113" s="294"/>
      <c r="B113" s="294" t="s">
        <v>254</v>
      </c>
      <c r="C113" s="294" t="s">
        <v>538</v>
      </c>
      <c r="D113" s="295" t="s">
        <v>1041</v>
      </c>
      <c r="E113" s="296">
        <v>4</v>
      </c>
      <c r="F113" s="294">
        <v>5.7</v>
      </c>
      <c r="G113" s="308">
        <f t="shared" si="15"/>
        <v>17.55127465</v>
      </c>
      <c r="H113" s="294">
        <v>210.5</v>
      </c>
      <c r="I113" s="297"/>
      <c r="J113" s="297"/>
      <c r="K113" s="294">
        <f t="shared" si="16"/>
        <v>2.3632</v>
      </c>
      <c r="L113" s="294">
        <f t="shared" si="17"/>
        <v>0.48966257712415773</v>
      </c>
      <c r="M113" s="309">
        <f t="shared" si="20"/>
        <v>3.188500165535924</v>
      </c>
      <c r="N113" s="294">
        <v>0</v>
      </c>
      <c r="O113" s="294" t="str">
        <f t="shared" si="11"/>
        <v/>
      </c>
      <c r="P113" s="294"/>
    </row>
    <row r="114" spans="1:16">
      <c r="A114" s="294"/>
      <c r="B114" s="294" t="s">
        <v>254</v>
      </c>
      <c r="C114" s="294" t="s">
        <v>538</v>
      </c>
      <c r="D114" s="295" t="s">
        <v>1046</v>
      </c>
      <c r="E114" s="296">
        <v>5</v>
      </c>
      <c r="F114" s="294">
        <v>10.6</v>
      </c>
      <c r="G114" s="308">
        <f t="shared" si="15"/>
        <v>19.968514859999999</v>
      </c>
      <c r="H114" s="294">
        <v>224.2</v>
      </c>
      <c r="I114" s="297"/>
      <c r="J114" s="297"/>
      <c r="K114" s="294">
        <f t="shared" si="16"/>
        <v>2.2456</v>
      </c>
      <c r="L114" s="294">
        <f t="shared" si="17"/>
        <v>0.55927403042310664</v>
      </c>
      <c r="M114" s="309">
        <f t="shared" si="20"/>
        <v>4.5330633318666695</v>
      </c>
      <c r="N114" s="294">
        <v>0</v>
      </c>
      <c r="O114" s="294" t="str">
        <f t="shared" si="11"/>
        <v/>
      </c>
      <c r="P114" s="294"/>
    </row>
    <row r="115" spans="1:16">
      <c r="A115" s="294"/>
      <c r="B115" s="294" t="s">
        <v>254</v>
      </c>
      <c r="C115" s="294" t="s">
        <v>538</v>
      </c>
      <c r="D115" s="295" t="s">
        <v>1041</v>
      </c>
      <c r="E115" s="296">
        <v>6</v>
      </c>
      <c r="F115" s="294">
        <v>11.1</v>
      </c>
      <c r="G115" s="308">
        <f t="shared" si="15"/>
        <v>13.888901839999999</v>
      </c>
      <c r="H115" s="294">
        <v>88.8</v>
      </c>
      <c r="I115" s="297"/>
      <c r="J115" s="297"/>
      <c r="K115" s="294">
        <f t="shared" si="16"/>
        <v>2.2336</v>
      </c>
      <c r="L115" s="294">
        <f t="shared" si="17"/>
        <v>0.566226770414756</v>
      </c>
      <c r="M115" s="309">
        <f t="shared" si="20"/>
        <v>3.0720190014647146</v>
      </c>
      <c r="N115" s="294">
        <v>0</v>
      </c>
      <c r="O115" s="294" t="str">
        <f t="shared" si="11"/>
        <v/>
      </c>
      <c r="P115" s="294"/>
    </row>
    <row r="116" spans="1:16">
      <c r="A116" s="294"/>
      <c r="B116" s="294" t="s">
        <v>254</v>
      </c>
      <c r="C116" s="294" t="s">
        <v>538</v>
      </c>
      <c r="D116" s="295" t="s">
        <v>1041</v>
      </c>
      <c r="E116" s="296">
        <v>7</v>
      </c>
      <c r="F116" s="294">
        <v>17.399999999999999</v>
      </c>
      <c r="G116" s="308">
        <f t="shared" si="15"/>
        <v>16.95219157</v>
      </c>
      <c r="H116" s="294">
        <v>164.9</v>
      </c>
      <c r="I116" s="297"/>
      <c r="J116" s="297"/>
      <c r="K116" s="294">
        <f t="shared" si="16"/>
        <v>2.0823999999999998</v>
      </c>
      <c r="L116" s="294">
        <f t="shared" si="17"/>
        <v>0.64958569894078666</v>
      </c>
      <c r="M116" s="309">
        <f t="shared" si="20"/>
        <v>4.8498101310190274</v>
      </c>
      <c r="N116" s="294">
        <v>1</v>
      </c>
      <c r="O116" s="294">
        <f t="shared" si="11"/>
        <v>4.8498101310190274</v>
      </c>
      <c r="P116" s="294"/>
    </row>
    <row r="117" spans="1:16">
      <c r="A117" s="294"/>
      <c r="B117" s="294" t="s">
        <v>254</v>
      </c>
      <c r="C117" s="294" t="s">
        <v>538</v>
      </c>
      <c r="D117" s="295" t="s">
        <v>1041</v>
      </c>
      <c r="E117" s="296">
        <v>8</v>
      </c>
      <c r="F117" s="294">
        <v>18</v>
      </c>
      <c r="G117" s="308">
        <f t="shared" si="15"/>
        <v>13.419128769999999</v>
      </c>
      <c r="H117" s="294">
        <v>103.9</v>
      </c>
      <c r="I117" s="297"/>
      <c r="J117" s="297"/>
      <c r="K117" s="294">
        <f t="shared" si="16"/>
        <v>2.0680000000000001</v>
      </c>
      <c r="L117" s="294">
        <f t="shared" si="17"/>
        <v>0.65702033496476719</v>
      </c>
      <c r="M117" s="309">
        <f t="shared" si="20"/>
        <v>3.8189459972326638</v>
      </c>
      <c r="N117" s="294">
        <v>0</v>
      </c>
      <c r="O117" s="294" t="str">
        <f t="shared" si="11"/>
        <v/>
      </c>
      <c r="P117" s="294"/>
    </row>
    <row r="118" spans="1:16">
      <c r="A118" s="294"/>
      <c r="B118" s="294" t="s">
        <v>254</v>
      </c>
      <c r="C118" s="294" t="s">
        <v>538</v>
      </c>
      <c r="D118" s="295" t="s">
        <v>1046</v>
      </c>
      <c r="E118" s="296">
        <v>9</v>
      </c>
      <c r="F118" s="294">
        <v>15.7</v>
      </c>
      <c r="G118" s="308">
        <f t="shared" ref="G118:G149" si="21">$T$11+$T$12*H118+INDEX($T$13:$T$24,MATCH(E118,$S$13:$S$24,0),1)</f>
        <v>14.403237189999999</v>
      </c>
      <c r="H118" s="294">
        <v>164.3</v>
      </c>
      <c r="I118" s="297"/>
      <c r="J118" s="297"/>
      <c r="K118" s="294">
        <f t="shared" si="16"/>
        <v>2.1232000000000002</v>
      </c>
      <c r="L118" s="294">
        <f t="shared" si="17"/>
        <v>0.62799494455985572</v>
      </c>
      <c r="M118" s="309">
        <f t="shared" si="20"/>
        <v>3.815715477326771</v>
      </c>
      <c r="N118" s="294">
        <v>0</v>
      </c>
      <c r="O118" s="294" t="str">
        <f t="shared" si="11"/>
        <v/>
      </c>
      <c r="P118" s="294"/>
    </row>
    <row r="119" spans="1:16">
      <c r="A119" s="294"/>
      <c r="B119" s="294" t="s">
        <v>254</v>
      </c>
      <c r="C119" s="294" t="s">
        <v>538</v>
      </c>
      <c r="D119" s="295" t="s">
        <v>1041</v>
      </c>
      <c r="E119" s="296">
        <v>10</v>
      </c>
      <c r="F119" s="294">
        <v>9</v>
      </c>
      <c r="G119" s="308">
        <f t="shared" si="21"/>
        <v>11.515854300000001</v>
      </c>
      <c r="H119" s="294">
        <v>167</v>
      </c>
      <c r="I119" s="297"/>
      <c r="J119" s="297"/>
      <c r="K119" s="294">
        <f t="shared" si="16"/>
        <v>2.2839999999999998</v>
      </c>
      <c r="L119" s="294">
        <f t="shared" si="17"/>
        <v>0.53679291860732048</v>
      </c>
      <c r="M119" s="309">
        <f t="shared" si="20"/>
        <v>2.252731529856999</v>
      </c>
      <c r="N119" s="294">
        <v>0</v>
      </c>
      <c r="O119" s="294" t="str">
        <f t="shared" si="11"/>
        <v/>
      </c>
      <c r="P119" s="294"/>
    </row>
    <row r="120" spans="1:16">
      <c r="A120" s="294"/>
      <c r="B120" s="294" t="s">
        <v>254</v>
      </c>
      <c r="C120" s="294" t="s">
        <v>538</v>
      </c>
      <c r="D120" s="295" t="s">
        <v>1046</v>
      </c>
      <c r="E120" s="296">
        <v>11</v>
      </c>
      <c r="F120" s="294">
        <v>2.9</v>
      </c>
      <c r="G120" s="308">
        <f t="shared" si="21"/>
        <v>6.5311003799999998</v>
      </c>
      <c r="H120" s="294">
        <v>86.6</v>
      </c>
      <c r="I120" s="297"/>
      <c r="J120" s="297"/>
      <c r="K120" s="294">
        <f t="shared" si="16"/>
        <v>2.4304000000000001</v>
      </c>
      <c r="L120" s="294">
        <f t="shared" si="17"/>
        <v>0.44942773800473362</v>
      </c>
      <c r="M120" s="309">
        <f t="shared" si="20"/>
        <v>0.74497252159646465</v>
      </c>
      <c r="N120" s="294">
        <v>0</v>
      </c>
      <c r="O120" s="294" t="str">
        <f t="shared" si="11"/>
        <v/>
      </c>
      <c r="P120" s="294"/>
    </row>
    <row r="121" spans="1:16">
      <c r="A121" s="294"/>
      <c r="B121" s="294" t="s">
        <v>254</v>
      </c>
      <c r="C121" s="294" t="s">
        <v>538</v>
      </c>
      <c r="D121" s="295" t="s">
        <v>1041</v>
      </c>
      <c r="E121" s="296">
        <v>12</v>
      </c>
      <c r="F121" s="294">
        <v>-1.5</v>
      </c>
      <c r="G121" s="308">
        <f t="shared" si="21"/>
        <v>6.0325102699999986</v>
      </c>
      <c r="H121" s="294">
        <v>103.9</v>
      </c>
      <c r="I121" s="297"/>
      <c r="J121" s="297"/>
      <c r="K121" s="294">
        <f t="shared" si="16"/>
        <v>2.536</v>
      </c>
      <c r="L121" s="294">
        <f t="shared" si="17"/>
        <v>0.3871821971716537</v>
      </c>
      <c r="M121" s="309">
        <f t="shared" si="20"/>
        <v>0.45653575090061527</v>
      </c>
      <c r="N121" s="294">
        <v>0</v>
      </c>
      <c r="O121" s="294" t="str">
        <f t="shared" si="11"/>
        <v/>
      </c>
      <c r="P121" s="294"/>
    </row>
    <row r="122" spans="1:16">
      <c r="A122" s="294">
        <v>11</v>
      </c>
      <c r="B122" s="294" t="s">
        <v>254</v>
      </c>
      <c r="C122" s="294" t="s">
        <v>258</v>
      </c>
      <c r="D122" s="295" t="s">
        <v>1046</v>
      </c>
      <c r="E122" s="296">
        <v>1</v>
      </c>
      <c r="F122" s="294">
        <v>-2.5</v>
      </c>
      <c r="G122" s="308">
        <f t="shared" si="21"/>
        <v>3.6611312500000013</v>
      </c>
      <c r="H122" s="294">
        <v>36.5</v>
      </c>
      <c r="I122" s="306">
        <v>0.60599999999999998</v>
      </c>
      <c r="J122" s="307">
        <v>1.17</v>
      </c>
      <c r="K122" s="294">
        <f t="shared" si="16"/>
        <v>2.56</v>
      </c>
      <c r="L122" s="294">
        <f t="shared" si="17"/>
        <v>0.37338576168864573</v>
      </c>
      <c r="M122" s="309">
        <f>$I$122*L122*(G122/K122)+$J$122</f>
        <v>1.4935979116939659</v>
      </c>
      <c r="N122" s="294">
        <v>0</v>
      </c>
      <c r="O122" s="294" t="str">
        <f t="shared" si="11"/>
        <v/>
      </c>
      <c r="P122" s="294">
        <f>AVERAGE(O122:O133)</f>
        <v>4.3644036926330063</v>
      </c>
    </row>
    <row r="123" spans="1:16">
      <c r="A123" s="294"/>
      <c r="B123" s="294" t="s">
        <v>254</v>
      </c>
      <c r="C123" s="294" t="s">
        <v>258</v>
      </c>
      <c r="D123" s="295" t="s">
        <v>1041</v>
      </c>
      <c r="E123" s="296">
        <v>2</v>
      </c>
      <c r="F123" s="294">
        <v>-2.2000000000000002</v>
      </c>
      <c r="G123" s="308">
        <f t="shared" si="21"/>
        <v>8.6987317999999991</v>
      </c>
      <c r="H123" s="294">
        <v>94</v>
      </c>
      <c r="I123" s="297"/>
      <c r="J123" s="297"/>
      <c r="K123" s="294">
        <f t="shared" si="16"/>
        <v>2.5528</v>
      </c>
      <c r="L123" s="294">
        <f t="shared" si="17"/>
        <v>0.37750691329569291</v>
      </c>
      <c r="M123" s="309">
        <f t="shared" ref="M123:M133" si="22">$I$122*L123*(G123/K123)+$J$122</f>
        <v>1.9495369097428243</v>
      </c>
      <c r="N123" s="294">
        <v>0</v>
      </c>
      <c r="O123" s="294" t="str">
        <f t="shared" si="11"/>
        <v/>
      </c>
      <c r="P123" s="294"/>
    </row>
    <row r="124" spans="1:16">
      <c r="A124" s="294"/>
      <c r="B124" s="294" t="s">
        <v>254</v>
      </c>
      <c r="C124" s="294" t="s">
        <v>258</v>
      </c>
      <c r="D124" s="295" t="s">
        <v>1041</v>
      </c>
      <c r="E124" s="296">
        <v>3</v>
      </c>
      <c r="F124" s="294">
        <v>2.5</v>
      </c>
      <c r="G124" s="308">
        <f t="shared" si="21"/>
        <v>12.34326896</v>
      </c>
      <c r="H124" s="294">
        <v>138.19999999999999</v>
      </c>
      <c r="I124" s="297"/>
      <c r="J124" s="297"/>
      <c r="K124" s="294">
        <f t="shared" si="16"/>
        <v>2.44</v>
      </c>
      <c r="L124" s="294">
        <f t="shared" si="17"/>
        <v>0.44369769567681572</v>
      </c>
      <c r="M124" s="309">
        <f t="shared" si="22"/>
        <v>2.5301918347421011</v>
      </c>
      <c r="N124" s="294">
        <v>0</v>
      </c>
      <c r="O124" s="294" t="str">
        <f t="shared" si="11"/>
        <v/>
      </c>
      <c r="P124" s="294"/>
    </row>
    <row r="125" spans="1:16">
      <c r="A125" s="294"/>
      <c r="B125" s="294" t="s">
        <v>254</v>
      </c>
      <c r="C125" s="294" t="s">
        <v>258</v>
      </c>
      <c r="D125" s="295" t="s">
        <v>1041</v>
      </c>
      <c r="E125" s="296">
        <v>4</v>
      </c>
      <c r="F125" s="294">
        <v>6.7</v>
      </c>
      <c r="G125" s="308">
        <f t="shared" si="21"/>
        <v>17.291814639999998</v>
      </c>
      <c r="H125" s="294">
        <v>204.8</v>
      </c>
      <c r="I125" s="297"/>
      <c r="J125" s="297"/>
      <c r="K125" s="294">
        <f t="shared" si="16"/>
        <v>2.3391999999999999</v>
      </c>
      <c r="L125" s="294">
        <f t="shared" si="17"/>
        <v>0.50401539269658691</v>
      </c>
      <c r="M125" s="309">
        <f t="shared" si="22"/>
        <v>3.4278216878449941</v>
      </c>
      <c r="N125" s="294">
        <v>0</v>
      </c>
      <c r="O125" s="294" t="str">
        <f t="shared" si="11"/>
        <v/>
      </c>
      <c r="P125" s="294"/>
    </row>
    <row r="126" spans="1:16">
      <c r="A126" s="294"/>
      <c r="B126" s="294" t="s">
        <v>254</v>
      </c>
      <c r="C126" s="294" t="s">
        <v>258</v>
      </c>
      <c r="D126" s="295" t="s">
        <v>1041</v>
      </c>
      <c r="E126" s="296">
        <v>5</v>
      </c>
      <c r="F126" s="294">
        <v>12</v>
      </c>
      <c r="G126" s="308">
        <f t="shared" si="21"/>
        <v>20.564817690000002</v>
      </c>
      <c r="H126" s="294">
        <v>237.3</v>
      </c>
      <c r="I126" s="297"/>
      <c r="J126" s="297"/>
      <c r="K126" s="294">
        <f t="shared" si="16"/>
        <v>2.2119999999999997</v>
      </c>
      <c r="L126" s="294">
        <f t="shared" si="17"/>
        <v>0.57864007305957188</v>
      </c>
      <c r="M126" s="309">
        <f t="shared" si="22"/>
        <v>4.4300245623972057</v>
      </c>
      <c r="N126" s="294">
        <v>0</v>
      </c>
      <c r="O126" s="294" t="str">
        <f t="shared" si="11"/>
        <v/>
      </c>
      <c r="P126" s="294"/>
    </row>
    <row r="127" spans="1:16">
      <c r="A127" s="294"/>
      <c r="B127" s="294" t="s">
        <v>254</v>
      </c>
      <c r="C127" s="294" t="s">
        <v>258</v>
      </c>
      <c r="D127" s="295" t="s">
        <v>1046</v>
      </c>
      <c r="E127" s="296">
        <v>6</v>
      </c>
      <c r="F127" s="294">
        <v>14.7</v>
      </c>
      <c r="G127" s="308">
        <f t="shared" si="21"/>
        <v>15.768848930000001</v>
      </c>
      <c r="H127" s="294">
        <v>130.1</v>
      </c>
      <c r="I127" s="297"/>
      <c r="J127" s="297"/>
      <c r="K127" s="294">
        <f t="shared" si="16"/>
        <v>2.1471999999999998</v>
      </c>
      <c r="L127" s="294">
        <f t="shared" si="17"/>
        <v>0.61495389297523528</v>
      </c>
      <c r="M127" s="309">
        <f t="shared" si="22"/>
        <v>3.9067975561515347</v>
      </c>
      <c r="N127" s="294">
        <v>0</v>
      </c>
      <c r="O127" s="294" t="str">
        <f t="shared" si="11"/>
        <v/>
      </c>
      <c r="P127" s="294"/>
    </row>
    <row r="128" spans="1:16">
      <c r="A128" s="294"/>
      <c r="B128" s="294" t="s">
        <v>254</v>
      </c>
      <c r="C128" s="294" t="s">
        <v>258</v>
      </c>
      <c r="D128" s="295" t="s">
        <v>1041</v>
      </c>
      <c r="E128" s="296">
        <v>7</v>
      </c>
      <c r="F128" s="294">
        <v>19</v>
      </c>
      <c r="G128" s="308">
        <f t="shared" si="21"/>
        <v>16.100980659999998</v>
      </c>
      <c r="H128" s="294">
        <v>146.19999999999999</v>
      </c>
      <c r="I128" s="297"/>
      <c r="J128" s="297"/>
      <c r="K128" s="294">
        <f t="shared" si="16"/>
        <v>2.044</v>
      </c>
      <c r="L128" s="294">
        <f t="shared" si="17"/>
        <v>0.66918429216402076</v>
      </c>
      <c r="M128" s="309">
        <f t="shared" si="22"/>
        <v>4.3644036926330063</v>
      </c>
      <c r="N128" s="294">
        <v>1</v>
      </c>
      <c r="O128" s="294">
        <f t="shared" si="11"/>
        <v>4.3644036926330063</v>
      </c>
      <c r="P128" s="294"/>
    </row>
    <row r="129" spans="1:16">
      <c r="A129" s="294"/>
      <c r="B129" s="294" t="s">
        <v>254</v>
      </c>
      <c r="C129" s="294" t="s">
        <v>258</v>
      </c>
      <c r="D129" s="295" t="s">
        <v>1041</v>
      </c>
      <c r="E129" s="296">
        <v>8</v>
      </c>
      <c r="F129" s="294">
        <v>20.9</v>
      </c>
      <c r="G129" s="308">
        <f t="shared" si="21"/>
        <v>16.819420480000002</v>
      </c>
      <c r="H129" s="294">
        <v>178.6</v>
      </c>
      <c r="I129" s="297"/>
      <c r="J129" s="297"/>
      <c r="K129" s="294">
        <f t="shared" si="16"/>
        <v>1.9984000000000002</v>
      </c>
      <c r="L129" s="294">
        <f t="shared" si="17"/>
        <v>0.69147707180847306</v>
      </c>
      <c r="M129" s="309">
        <f t="shared" si="22"/>
        <v>4.696785245973615</v>
      </c>
      <c r="N129" s="294">
        <v>0</v>
      </c>
      <c r="O129" s="294" t="str">
        <f t="shared" si="11"/>
        <v/>
      </c>
      <c r="P129" s="294"/>
    </row>
    <row r="130" spans="1:16">
      <c r="A130" s="294"/>
      <c r="B130" s="294" t="s">
        <v>254</v>
      </c>
      <c r="C130" s="294" t="s">
        <v>258</v>
      </c>
      <c r="D130" s="295" t="s">
        <v>1041</v>
      </c>
      <c r="E130" s="296">
        <v>9</v>
      </c>
      <c r="F130" s="294">
        <v>17.2</v>
      </c>
      <c r="G130" s="308">
        <f t="shared" si="21"/>
        <v>14.34861403</v>
      </c>
      <c r="H130" s="294">
        <v>163.1</v>
      </c>
      <c r="I130" s="297"/>
      <c r="J130" s="297"/>
      <c r="K130" s="294">
        <f t="shared" si="16"/>
        <v>2.0872000000000002</v>
      </c>
      <c r="L130" s="294">
        <f t="shared" si="17"/>
        <v>0.64708539575733404</v>
      </c>
      <c r="M130" s="309">
        <f t="shared" si="22"/>
        <v>3.8657530780146137</v>
      </c>
      <c r="N130" s="294">
        <v>0</v>
      </c>
      <c r="O130" s="294" t="str">
        <f t="shared" ref="O130:O193" si="23">IF(N130*M130=0,"",N130*M130)</f>
        <v/>
      </c>
      <c r="P130" s="294"/>
    </row>
    <row r="131" spans="1:16">
      <c r="A131" s="294"/>
      <c r="B131" s="294" t="s">
        <v>254</v>
      </c>
      <c r="C131" s="294" t="s">
        <v>258</v>
      </c>
      <c r="D131" s="295" t="s">
        <v>1041</v>
      </c>
      <c r="E131" s="296">
        <v>10</v>
      </c>
      <c r="F131" s="294">
        <v>10.199999999999999</v>
      </c>
      <c r="G131" s="308">
        <f t="shared" si="21"/>
        <v>8.9576696399999989</v>
      </c>
      <c r="H131" s="294">
        <v>110.8</v>
      </c>
      <c r="I131" s="297"/>
      <c r="J131" s="297"/>
      <c r="K131" s="294">
        <f t="shared" si="16"/>
        <v>2.2551999999999999</v>
      </c>
      <c r="L131" s="294">
        <f t="shared" si="17"/>
        <v>0.55368525424125736</v>
      </c>
      <c r="M131" s="309">
        <f t="shared" si="22"/>
        <v>2.5027403923251823</v>
      </c>
      <c r="N131" s="294">
        <v>0</v>
      </c>
      <c r="O131" s="294" t="str">
        <f t="shared" si="23"/>
        <v/>
      </c>
      <c r="P131" s="294"/>
    </row>
    <row r="132" spans="1:16">
      <c r="A132" s="294"/>
      <c r="B132" s="294" t="s">
        <v>254</v>
      </c>
      <c r="C132" s="294" t="s">
        <v>258</v>
      </c>
      <c r="D132" s="295" t="s">
        <v>1041</v>
      </c>
      <c r="E132" s="296">
        <v>11</v>
      </c>
      <c r="F132" s="294">
        <v>3.6</v>
      </c>
      <c r="G132" s="308">
        <f t="shared" si="21"/>
        <v>6.5720677499999987</v>
      </c>
      <c r="H132" s="294">
        <v>87.5</v>
      </c>
      <c r="I132" s="297"/>
      <c r="J132" s="297"/>
      <c r="K132" s="294">
        <f t="shared" si="16"/>
        <v>2.4136000000000002</v>
      </c>
      <c r="L132" s="294">
        <f t="shared" si="17"/>
        <v>0.45947304623914176</v>
      </c>
      <c r="M132" s="309">
        <f t="shared" si="22"/>
        <v>1.9281748928756248</v>
      </c>
      <c r="N132" s="294">
        <v>0</v>
      </c>
      <c r="O132" s="294" t="str">
        <f t="shared" si="23"/>
        <v/>
      </c>
      <c r="P132" s="294"/>
    </row>
    <row r="133" spans="1:16">
      <c r="A133" s="294"/>
      <c r="B133" s="294" t="s">
        <v>254</v>
      </c>
      <c r="C133" s="294" t="s">
        <v>258</v>
      </c>
      <c r="D133" s="295" t="s">
        <v>1041</v>
      </c>
      <c r="E133" s="296">
        <v>12</v>
      </c>
      <c r="F133" s="294">
        <v>0.2</v>
      </c>
      <c r="G133" s="308">
        <f t="shared" si="21"/>
        <v>2.8051918999999996</v>
      </c>
      <c r="H133" s="294">
        <v>33</v>
      </c>
      <c r="I133" s="297"/>
      <c r="J133" s="297"/>
      <c r="K133" s="294">
        <f t="shared" si="16"/>
        <v>2.4952000000000001</v>
      </c>
      <c r="L133" s="294">
        <f t="shared" si="17"/>
        <v>0.41098315688978554</v>
      </c>
      <c r="M133" s="309">
        <f t="shared" si="22"/>
        <v>1.4499973121924716</v>
      </c>
      <c r="N133" s="294">
        <v>0</v>
      </c>
      <c r="O133" s="294" t="str">
        <f t="shared" si="23"/>
        <v/>
      </c>
      <c r="P133" s="294"/>
    </row>
    <row r="134" spans="1:16">
      <c r="A134" s="294">
        <v>12</v>
      </c>
      <c r="B134" s="294" t="s">
        <v>254</v>
      </c>
      <c r="C134" s="294" t="s">
        <v>261</v>
      </c>
      <c r="D134" s="295" t="s">
        <v>1041</v>
      </c>
      <c r="E134" s="296">
        <v>1</v>
      </c>
      <c r="F134" s="294">
        <v>-1.4</v>
      </c>
      <c r="G134" s="308">
        <f t="shared" si="21"/>
        <v>5.5683899200000004</v>
      </c>
      <c r="H134" s="294">
        <v>78.400000000000006</v>
      </c>
      <c r="I134" s="306">
        <v>0.78300000000000003</v>
      </c>
      <c r="J134" s="307">
        <v>-0.08</v>
      </c>
      <c r="K134" s="294">
        <f t="shared" si="16"/>
        <v>2.5335999999999999</v>
      </c>
      <c r="L134" s="294">
        <f t="shared" si="17"/>
        <v>0.38857082772847418</v>
      </c>
      <c r="M134" s="309">
        <f>$I$134*L134*(G134/K134)+$J$134</f>
        <v>0.58868802032595369</v>
      </c>
      <c r="N134" s="294">
        <v>0</v>
      </c>
      <c r="O134" s="294" t="str">
        <f t="shared" si="23"/>
        <v/>
      </c>
      <c r="P134" s="294">
        <f>AVERAGE(O134:O145)</f>
        <v>4.4661279383664265</v>
      </c>
    </row>
    <row r="135" spans="1:16">
      <c r="A135" s="294"/>
      <c r="B135" s="294" t="s">
        <v>254</v>
      </c>
      <c r="C135" s="294" t="s">
        <v>261</v>
      </c>
      <c r="D135" s="295" t="s">
        <v>1041</v>
      </c>
      <c r="E135" s="296">
        <v>2</v>
      </c>
      <c r="F135" s="294">
        <v>-0.6</v>
      </c>
      <c r="G135" s="308">
        <f t="shared" si="21"/>
        <v>7.4970222799999995</v>
      </c>
      <c r="H135" s="294">
        <v>67.599999999999994</v>
      </c>
      <c r="I135" s="297"/>
      <c r="J135" s="297"/>
      <c r="K135" s="294">
        <f t="shared" si="16"/>
        <v>2.5144000000000002</v>
      </c>
      <c r="L135" s="294">
        <f t="shared" si="17"/>
        <v>0.39973353071255374</v>
      </c>
      <c r="M135" s="309">
        <f t="shared" ref="M135:M145" si="24">$I$134*L135*(G135/K135)+$J$134</f>
        <v>0.85322588231514762</v>
      </c>
      <c r="N135" s="294">
        <v>0</v>
      </c>
      <c r="O135" s="294" t="str">
        <f t="shared" si="23"/>
        <v/>
      </c>
      <c r="P135" s="294"/>
    </row>
    <row r="136" spans="1:16">
      <c r="A136" s="294"/>
      <c r="B136" s="294" t="s">
        <v>254</v>
      </c>
      <c r="C136" s="294" t="s">
        <v>261</v>
      </c>
      <c r="D136" s="295" t="s">
        <v>1041</v>
      </c>
      <c r="E136" s="296">
        <v>3</v>
      </c>
      <c r="F136" s="294">
        <v>3.3</v>
      </c>
      <c r="G136" s="308">
        <f t="shared" si="21"/>
        <v>12.52079423</v>
      </c>
      <c r="H136" s="294">
        <v>142.1</v>
      </c>
      <c r="I136" s="297"/>
      <c r="J136" s="297"/>
      <c r="K136" s="294">
        <f t="shared" si="16"/>
        <v>2.4207999999999998</v>
      </c>
      <c r="L136" s="294">
        <f t="shared" si="17"/>
        <v>0.45516556568749483</v>
      </c>
      <c r="M136" s="309">
        <f t="shared" si="24"/>
        <v>1.7633344044275892</v>
      </c>
      <c r="N136" s="294">
        <v>0</v>
      </c>
      <c r="O136" s="294" t="str">
        <f t="shared" si="23"/>
        <v/>
      </c>
      <c r="P136" s="294"/>
    </row>
    <row r="137" spans="1:16">
      <c r="A137" s="294"/>
      <c r="B137" s="294" t="s">
        <v>254</v>
      </c>
      <c r="C137" s="294" t="s">
        <v>261</v>
      </c>
      <c r="D137" s="295" t="s">
        <v>1041</v>
      </c>
      <c r="E137" s="296">
        <v>4</v>
      </c>
      <c r="F137" s="294">
        <v>7.6</v>
      </c>
      <c r="G137" s="308">
        <f t="shared" si="21"/>
        <v>17.769767290000001</v>
      </c>
      <c r="H137" s="294">
        <v>215.3</v>
      </c>
      <c r="I137" s="297"/>
      <c r="J137" s="297"/>
      <c r="K137" s="294">
        <f t="shared" si="16"/>
        <v>2.3176000000000001</v>
      </c>
      <c r="L137" s="294">
        <f t="shared" si="17"/>
        <v>0.51689044020520014</v>
      </c>
      <c r="M137" s="309">
        <f t="shared" si="24"/>
        <v>3.0231553681700154</v>
      </c>
      <c r="N137" s="294">
        <v>0</v>
      </c>
      <c r="O137" s="294" t="str">
        <f t="shared" si="23"/>
        <v/>
      </c>
      <c r="P137" s="294"/>
    </row>
    <row r="138" spans="1:16">
      <c r="A138" s="294"/>
      <c r="B138" s="294" t="s">
        <v>254</v>
      </c>
      <c r="C138" s="294" t="s">
        <v>261</v>
      </c>
      <c r="D138" s="295" t="s">
        <v>1041</v>
      </c>
      <c r="E138" s="296">
        <v>5</v>
      </c>
      <c r="F138" s="294">
        <v>13.2</v>
      </c>
      <c r="G138" s="308">
        <f t="shared" si="21"/>
        <v>21.12015315</v>
      </c>
      <c r="H138" s="294">
        <v>249.5</v>
      </c>
      <c r="I138" s="297"/>
      <c r="J138" s="297"/>
      <c r="K138" s="294">
        <f t="shared" si="16"/>
        <v>2.1832000000000003</v>
      </c>
      <c r="L138" s="294">
        <f t="shared" si="17"/>
        <v>0.59496401387711539</v>
      </c>
      <c r="M138" s="309">
        <f t="shared" si="24"/>
        <v>4.4266725196490126</v>
      </c>
      <c r="N138" s="294">
        <v>0</v>
      </c>
      <c r="O138" s="294" t="str">
        <f t="shared" si="23"/>
        <v/>
      </c>
      <c r="P138" s="294"/>
    </row>
    <row r="139" spans="1:16">
      <c r="A139" s="294"/>
      <c r="B139" s="294" t="s">
        <v>254</v>
      </c>
      <c r="C139" s="294" t="s">
        <v>261</v>
      </c>
      <c r="D139" s="295" t="s">
        <v>1041</v>
      </c>
      <c r="E139" s="296">
        <v>6</v>
      </c>
      <c r="F139" s="294">
        <v>15.8</v>
      </c>
      <c r="G139" s="308">
        <f t="shared" si="21"/>
        <v>15.59132366</v>
      </c>
      <c r="H139" s="294">
        <v>126.2</v>
      </c>
      <c r="I139" s="297"/>
      <c r="J139" s="297"/>
      <c r="K139" s="294">
        <f t="shared" si="16"/>
        <v>2.1208</v>
      </c>
      <c r="L139" s="294">
        <f t="shared" si="17"/>
        <v>0.62928564442883417</v>
      </c>
      <c r="M139" s="309">
        <f t="shared" si="24"/>
        <v>3.5423704219343248</v>
      </c>
      <c r="N139" s="294">
        <v>0</v>
      </c>
      <c r="O139" s="294" t="str">
        <f t="shared" si="23"/>
        <v/>
      </c>
      <c r="P139" s="294"/>
    </row>
    <row r="140" spans="1:16">
      <c r="A140" s="294"/>
      <c r="B140" s="294" t="s">
        <v>254</v>
      </c>
      <c r="C140" s="294" t="s">
        <v>261</v>
      </c>
      <c r="D140" s="295" t="s">
        <v>1046</v>
      </c>
      <c r="E140" s="296">
        <v>7</v>
      </c>
      <c r="F140" s="294">
        <v>20.100000000000001</v>
      </c>
      <c r="G140" s="308">
        <f t="shared" si="21"/>
        <v>17.170684209999997</v>
      </c>
      <c r="H140" s="294">
        <v>169.7</v>
      </c>
      <c r="I140" s="297"/>
      <c r="J140" s="297"/>
      <c r="K140" s="294">
        <f t="shared" si="16"/>
        <v>2.0175999999999998</v>
      </c>
      <c r="L140" s="294">
        <f t="shared" si="17"/>
        <v>0.68222457536345948</v>
      </c>
      <c r="M140" s="309">
        <f t="shared" si="24"/>
        <v>4.4661279383664265</v>
      </c>
      <c r="N140" s="294">
        <v>1</v>
      </c>
      <c r="O140" s="294">
        <f t="shared" si="23"/>
        <v>4.4661279383664265</v>
      </c>
      <c r="P140" s="294"/>
    </row>
    <row r="141" spans="1:16">
      <c r="A141" s="294"/>
      <c r="B141" s="294" t="s">
        <v>254</v>
      </c>
      <c r="C141" s="294" t="s">
        <v>261</v>
      </c>
      <c r="D141" s="295" t="s">
        <v>1046</v>
      </c>
      <c r="E141" s="296">
        <v>8</v>
      </c>
      <c r="F141" s="294">
        <v>21.8</v>
      </c>
      <c r="G141" s="308">
        <f t="shared" si="21"/>
        <v>16.045592380000002</v>
      </c>
      <c r="H141" s="294">
        <v>161.6</v>
      </c>
      <c r="I141" s="297"/>
      <c r="J141" s="297"/>
      <c r="K141" s="294">
        <f t="shared" si="16"/>
        <v>1.9767999999999999</v>
      </c>
      <c r="L141" s="294">
        <f t="shared" si="17"/>
        <v>0.70164698620294608</v>
      </c>
      <c r="M141" s="309">
        <f t="shared" si="24"/>
        <v>4.3793693960516045</v>
      </c>
      <c r="N141" s="294">
        <v>0</v>
      </c>
      <c r="O141" s="294" t="str">
        <f t="shared" si="23"/>
        <v/>
      </c>
      <c r="P141" s="294"/>
    </row>
    <row r="142" spans="1:16">
      <c r="A142" s="294"/>
      <c r="B142" s="294" t="s">
        <v>254</v>
      </c>
      <c r="C142" s="294" t="s">
        <v>261</v>
      </c>
      <c r="D142" s="295" t="s">
        <v>1041</v>
      </c>
      <c r="E142" s="296">
        <v>9</v>
      </c>
      <c r="F142" s="294">
        <v>18</v>
      </c>
      <c r="G142" s="308">
        <f t="shared" si="21"/>
        <v>13.80693436</v>
      </c>
      <c r="H142" s="294">
        <v>151.19999999999999</v>
      </c>
      <c r="I142" s="297"/>
      <c r="J142" s="297"/>
      <c r="K142" s="294">
        <f t="shared" si="16"/>
        <v>2.0680000000000001</v>
      </c>
      <c r="L142" s="294">
        <f t="shared" si="17"/>
        <v>0.65702033496476719</v>
      </c>
      <c r="M142" s="309">
        <f t="shared" si="24"/>
        <v>3.3546880500910343</v>
      </c>
      <c r="N142" s="294">
        <v>0</v>
      </c>
      <c r="O142" s="294" t="str">
        <f t="shared" si="23"/>
        <v/>
      </c>
      <c r="P142" s="294"/>
    </row>
    <row r="143" spans="1:16">
      <c r="A143" s="294"/>
      <c r="B143" s="294" t="s">
        <v>254</v>
      </c>
      <c r="C143" s="294" t="s">
        <v>261</v>
      </c>
      <c r="D143" s="295" t="s">
        <v>1041</v>
      </c>
      <c r="E143" s="296">
        <v>10</v>
      </c>
      <c r="F143" s="294">
        <v>10.3</v>
      </c>
      <c r="G143" s="308">
        <f t="shared" si="21"/>
        <v>10.47346233</v>
      </c>
      <c r="H143" s="294">
        <v>144.1</v>
      </c>
      <c r="I143" s="297"/>
      <c r="J143" s="297"/>
      <c r="K143" s="294">
        <f t="shared" si="16"/>
        <v>2.2528000000000001</v>
      </c>
      <c r="L143" s="294">
        <f t="shared" si="17"/>
        <v>0.55508457099596153</v>
      </c>
      <c r="M143" s="309">
        <f t="shared" si="24"/>
        <v>1.9406381838509379</v>
      </c>
      <c r="N143" s="294">
        <v>0</v>
      </c>
      <c r="O143" s="294" t="str">
        <f t="shared" si="23"/>
        <v/>
      </c>
      <c r="P143" s="294"/>
    </row>
    <row r="144" spans="1:16">
      <c r="A144" s="294"/>
      <c r="B144" s="294" t="s">
        <v>254</v>
      </c>
      <c r="C144" s="294" t="s">
        <v>261</v>
      </c>
      <c r="D144" s="295" t="s">
        <v>1041</v>
      </c>
      <c r="E144" s="296">
        <v>11</v>
      </c>
      <c r="F144" s="294">
        <v>5.0999999999999996</v>
      </c>
      <c r="G144" s="308">
        <f t="shared" si="21"/>
        <v>6.46282143</v>
      </c>
      <c r="H144" s="294">
        <v>85.1</v>
      </c>
      <c r="I144" s="297"/>
      <c r="J144" s="297"/>
      <c r="K144" s="294">
        <f t="shared" si="16"/>
        <v>2.3776000000000002</v>
      </c>
      <c r="L144" s="294">
        <f t="shared" si="17"/>
        <v>0.48103743439846536</v>
      </c>
      <c r="M144" s="309">
        <f t="shared" si="24"/>
        <v>0.94382092364394021</v>
      </c>
      <c r="N144" s="294">
        <v>0</v>
      </c>
      <c r="O144" s="294" t="str">
        <f t="shared" si="23"/>
        <v/>
      </c>
      <c r="P144" s="294"/>
    </row>
    <row r="145" spans="1:16">
      <c r="A145" s="294"/>
      <c r="B145" s="294" t="s">
        <v>254</v>
      </c>
      <c r="C145" s="294" t="s">
        <v>261</v>
      </c>
      <c r="D145" s="295" t="s">
        <v>1046</v>
      </c>
      <c r="E145" s="296">
        <v>12</v>
      </c>
      <c r="F145" s="294">
        <v>0.7</v>
      </c>
      <c r="G145" s="308">
        <f t="shared" si="21"/>
        <v>3.8157203599999994</v>
      </c>
      <c r="H145" s="294">
        <v>55.2</v>
      </c>
      <c r="I145" s="297"/>
      <c r="J145" s="297"/>
      <c r="K145" s="294">
        <f t="shared" si="16"/>
        <v>2.4832000000000001</v>
      </c>
      <c r="L145" s="294">
        <f t="shared" si="17"/>
        <v>0.41805288326393808</v>
      </c>
      <c r="M145" s="309">
        <f t="shared" si="24"/>
        <v>0.42298823264806368</v>
      </c>
      <c r="N145" s="294">
        <v>0</v>
      </c>
      <c r="O145" s="294" t="str">
        <f t="shared" si="23"/>
        <v/>
      </c>
      <c r="P145" s="294"/>
    </row>
    <row r="146" spans="1:16">
      <c r="A146" s="294">
        <v>13</v>
      </c>
      <c r="B146" s="294" t="s">
        <v>254</v>
      </c>
      <c r="C146" s="294" t="s">
        <v>263</v>
      </c>
      <c r="D146" s="295" t="s">
        <v>1041</v>
      </c>
      <c r="E146" s="296">
        <v>1</v>
      </c>
      <c r="F146" s="294">
        <v>-3.8</v>
      </c>
      <c r="G146" s="308">
        <f t="shared" si="21"/>
        <v>5.8187460700000004</v>
      </c>
      <c r="H146" s="294">
        <v>83.9</v>
      </c>
      <c r="I146" s="306">
        <v>0.87</v>
      </c>
      <c r="J146" s="307">
        <v>-0.2</v>
      </c>
      <c r="K146" s="294">
        <f t="shared" si="16"/>
        <v>2.5912000000000002</v>
      </c>
      <c r="L146" s="294">
        <f t="shared" si="17"/>
        <v>0.35572068107684945</v>
      </c>
      <c r="M146" s="309">
        <f>$I$146*L146*(G146/K146)+$J$146</f>
        <v>0.49495524624855963</v>
      </c>
      <c r="N146" s="294">
        <v>0</v>
      </c>
      <c r="O146" s="294" t="str">
        <f t="shared" si="23"/>
        <v/>
      </c>
      <c r="P146" s="294">
        <f>AVERAGE(O146:O157)</f>
        <v>5.0809558026726647</v>
      </c>
    </row>
    <row r="147" spans="1:16">
      <c r="A147" s="294"/>
      <c r="B147" s="294" t="s">
        <v>254</v>
      </c>
      <c r="C147" s="294" t="s">
        <v>263</v>
      </c>
      <c r="D147" s="295" t="s">
        <v>1041</v>
      </c>
      <c r="E147" s="296">
        <v>2</v>
      </c>
      <c r="F147" s="294">
        <v>-2.6</v>
      </c>
      <c r="G147" s="308">
        <f t="shared" si="21"/>
        <v>10.314666949999999</v>
      </c>
      <c r="H147" s="294">
        <v>129.5</v>
      </c>
      <c r="I147" s="297"/>
      <c r="J147" s="297"/>
      <c r="K147" s="294">
        <f t="shared" si="16"/>
        <v>2.5623999999999998</v>
      </c>
      <c r="L147" s="294">
        <f t="shared" si="17"/>
        <v>0.37201559133872025</v>
      </c>
      <c r="M147" s="309">
        <f t="shared" ref="M147:M156" si="25">$I$146*L147*(G147/K147)+$J$146</f>
        <v>1.1028327835753973</v>
      </c>
      <c r="N147" s="294">
        <v>0</v>
      </c>
      <c r="O147" s="294" t="str">
        <f t="shared" si="23"/>
        <v/>
      </c>
      <c r="P147" s="294"/>
    </row>
    <row r="148" spans="1:16">
      <c r="A148" s="294"/>
      <c r="B148" s="294" t="s">
        <v>254</v>
      </c>
      <c r="C148" s="294" t="s">
        <v>263</v>
      </c>
      <c r="D148" s="295" t="s">
        <v>1041</v>
      </c>
      <c r="E148" s="296">
        <v>3</v>
      </c>
      <c r="F148" s="294">
        <v>2.5</v>
      </c>
      <c r="G148" s="308">
        <f t="shared" si="21"/>
        <v>13.06702583</v>
      </c>
      <c r="H148" s="294">
        <v>154.1</v>
      </c>
      <c r="I148" s="297"/>
      <c r="J148" s="297"/>
      <c r="K148" s="294">
        <f t="shared" si="16"/>
        <v>2.44</v>
      </c>
      <c r="L148" s="294">
        <f t="shared" si="17"/>
        <v>0.44369769567681572</v>
      </c>
      <c r="M148" s="309">
        <f t="shared" si="25"/>
        <v>1.8672516588544157</v>
      </c>
      <c r="N148" s="294">
        <v>0</v>
      </c>
      <c r="O148" s="294" t="str">
        <f t="shared" si="23"/>
        <v/>
      </c>
      <c r="P148" s="294"/>
    </row>
    <row r="149" spans="1:16">
      <c r="A149" s="294"/>
      <c r="B149" s="294" t="s">
        <v>254</v>
      </c>
      <c r="C149" s="294" t="s">
        <v>263</v>
      </c>
      <c r="D149" s="295" t="s">
        <v>1041</v>
      </c>
      <c r="E149" s="296">
        <v>4</v>
      </c>
      <c r="F149" s="294">
        <v>7.4</v>
      </c>
      <c r="G149" s="308">
        <f t="shared" si="21"/>
        <v>16.891244799999999</v>
      </c>
      <c r="H149" s="294">
        <v>196</v>
      </c>
      <c r="I149" s="297"/>
      <c r="J149" s="297"/>
      <c r="K149" s="294">
        <f t="shared" si="16"/>
        <v>2.3224</v>
      </c>
      <c r="L149" s="294">
        <f t="shared" si="17"/>
        <v>0.51403382065240233</v>
      </c>
      <c r="M149" s="309">
        <f t="shared" si="25"/>
        <v>3.0526368657869223</v>
      </c>
      <c r="N149" s="294">
        <v>0</v>
      </c>
      <c r="O149" s="294" t="str">
        <f t="shared" si="23"/>
        <v/>
      </c>
      <c r="P149" s="294"/>
    </row>
    <row r="150" spans="1:16">
      <c r="A150" s="294"/>
      <c r="B150" s="294" t="s">
        <v>254</v>
      </c>
      <c r="C150" s="294" t="s">
        <v>263</v>
      </c>
      <c r="D150" s="295" t="s">
        <v>1041</v>
      </c>
      <c r="E150" s="296">
        <v>5</v>
      </c>
      <c r="F150" s="294">
        <v>13</v>
      </c>
      <c r="G150" s="308">
        <f t="shared" ref="G150:G181" si="26">$T$11+$T$12*H150+INDEX($T$13:$T$24,MATCH(E150,$S$13:$S$24,0),1)</f>
        <v>20.36453277</v>
      </c>
      <c r="H150" s="294">
        <v>232.9</v>
      </c>
      <c r="I150" s="297"/>
      <c r="J150" s="297"/>
      <c r="K150" s="294">
        <f t="shared" si="16"/>
        <v>2.1880000000000002</v>
      </c>
      <c r="L150" s="294">
        <f t="shared" si="17"/>
        <v>0.59226272182177631</v>
      </c>
      <c r="M150" s="309">
        <f t="shared" si="25"/>
        <v>4.5957969095431404</v>
      </c>
      <c r="N150" s="294">
        <v>0</v>
      </c>
      <c r="O150" s="294" t="str">
        <f t="shared" si="23"/>
        <v/>
      </c>
      <c r="P150" s="294"/>
    </row>
    <row r="151" spans="1:16">
      <c r="A151" s="294"/>
      <c r="B151" s="294" t="s">
        <v>254</v>
      </c>
      <c r="C151" s="294" t="s">
        <v>263</v>
      </c>
      <c r="D151" s="295" t="s">
        <v>1041</v>
      </c>
      <c r="E151" s="296">
        <v>6</v>
      </c>
      <c r="F151" s="294">
        <v>16</v>
      </c>
      <c r="G151" s="308">
        <f t="shared" si="26"/>
        <v>16.251353510000001</v>
      </c>
      <c r="H151" s="294">
        <v>140.69999999999999</v>
      </c>
      <c r="I151" s="297"/>
      <c r="J151" s="297"/>
      <c r="K151" s="294">
        <f t="shared" ref="K151:K214" si="27">2.5-0.024*F151</f>
        <v>2.1160000000000001</v>
      </c>
      <c r="L151" s="294">
        <f t="shared" ref="L151:L214" si="28">1/(1.05+1.4*EXP(-0.0604*F151))</f>
        <v>0.63185951626122749</v>
      </c>
      <c r="M151" s="309">
        <f t="shared" si="25"/>
        <v>4.0219555574926078</v>
      </c>
      <c r="N151" s="294">
        <v>0</v>
      </c>
      <c r="O151" s="294" t="str">
        <f t="shared" si="23"/>
        <v/>
      </c>
      <c r="P151" s="294"/>
    </row>
    <row r="152" spans="1:16">
      <c r="A152" s="294"/>
      <c r="B152" s="294" t="s">
        <v>254</v>
      </c>
      <c r="C152" s="294" t="s">
        <v>263</v>
      </c>
      <c r="D152" s="295" t="s">
        <v>1041</v>
      </c>
      <c r="E152" s="296">
        <v>7</v>
      </c>
      <c r="F152" s="294">
        <v>20.6</v>
      </c>
      <c r="G152" s="308">
        <f t="shared" si="26"/>
        <v>17.694156159999999</v>
      </c>
      <c r="H152" s="294">
        <v>181.2</v>
      </c>
      <c r="I152" s="297"/>
      <c r="J152" s="297"/>
      <c r="K152" s="294">
        <f t="shared" si="27"/>
        <v>2.0055999999999998</v>
      </c>
      <c r="L152" s="294">
        <f t="shared" si="28"/>
        <v>0.68803058654568494</v>
      </c>
      <c r="M152" s="309">
        <f t="shared" si="25"/>
        <v>5.0809558026726647</v>
      </c>
      <c r="N152" s="294">
        <v>1</v>
      </c>
      <c r="O152" s="294">
        <f t="shared" si="23"/>
        <v>5.0809558026726647</v>
      </c>
      <c r="P152" s="294"/>
    </row>
    <row r="153" spans="1:16">
      <c r="A153" s="294"/>
      <c r="B153" s="294" t="s">
        <v>254</v>
      </c>
      <c r="C153" s="294" t="s">
        <v>263</v>
      </c>
      <c r="D153" s="295" t="s">
        <v>1041</v>
      </c>
      <c r="E153" s="296">
        <v>8</v>
      </c>
      <c r="F153" s="294">
        <v>21.5</v>
      </c>
      <c r="G153" s="308">
        <f t="shared" si="26"/>
        <v>16.122975190000002</v>
      </c>
      <c r="H153" s="294">
        <v>163.30000000000001</v>
      </c>
      <c r="I153" s="297"/>
      <c r="J153" s="297"/>
      <c r="K153" s="294">
        <f t="shared" si="27"/>
        <v>1.984</v>
      </c>
      <c r="L153" s="294">
        <f t="shared" si="28"/>
        <v>0.69828547686607079</v>
      </c>
      <c r="M153" s="309">
        <f t="shared" si="25"/>
        <v>4.7369164791192597</v>
      </c>
      <c r="N153" s="294">
        <v>0</v>
      </c>
      <c r="O153" s="294" t="str">
        <f t="shared" si="23"/>
        <v/>
      </c>
      <c r="P153" s="294"/>
    </row>
    <row r="154" spans="1:16">
      <c r="A154" s="294"/>
      <c r="B154" s="294" t="s">
        <v>254</v>
      </c>
      <c r="C154" s="294" t="s">
        <v>263</v>
      </c>
      <c r="D154" s="295" t="s">
        <v>1041</v>
      </c>
      <c r="E154" s="296">
        <v>9</v>
      </c>
      <c r="F154" s="294">
        <v>17.100000000000001</v>
      </c>
      <c r="G154" s="308">
        <f t="shared" si="26"/>
        <v>13.6157533</v>
      </c>
      <c r="H154" s="294">
        <v>147</v>
      </c>
      <c r="I154" s="297"/>
      <c r="J154" s="297"/>
      <c r="K154" s="294">
        <f t="shared" si="27"/>
        <v>2.0895999999999999</v>
      </c>
      <c r="L154" s="294">
        <f t="shared" si="28"/>
        <v>0.64583116355221615</v>
      </c>
      <c r="M154" s="309">
        <f t="shared" si="25"/>
        <v>3.4611436077955906</v>
      </c>
      <c r="N154" s="294">
        <v>0</v>
      </c>
      <c r="O154" s="294" t="str">
        <f t="shared" si="23"/>
        <v/>
      </c>
      <c r="P154" s="294"/>
    </row>
    <row r="155" spans="1:16">
      <c r="A155" s="294"/>
      <c r="B155" s="294" t="s">
        <v>254</v>
      </c>
      <c r="C155" s="294" t="s">
        <v>263</v>
      </c>
      <c r="D155" s="295" t="s">
        <v>1041</v>
      </c>
      <c r="E155" s="296">
        <v>10</v>
      </c>
      <c r="F155" s="294">
        <v>9.5</v>
      </c>
      <c r="G155" s="308">
        <f t="shared" si="26"/>
        <v>10.30048899</v>
      </c>
      <c r="H155" s="294">
        <v>140.30000000000001</v>
      </c>
      <c r="I155" s="297"/>
      <c r="J155" s="297"/>
      <c r="K155" s="294">
        <f t="shared" si="27"/>
        <v>2.2719999999999998</v>
      </c>
      <c r="L155" s="294">
        <f t="shared" si="28"/>
        <v>0.54385283124797501</v>
      </c>
      <c r="M155" s="309">
        <f t="shared" si="25"/>
        <v>1.9451129345913654</v>
      </c>
      <c r="N155" s="294">
        <v>0</v>
      </c>
      <c r="O155" s="294" t="str">
        <f t="shared" si="23"/>
        <v/>
      </c>
      <c r="P155" s="294"/>
    </row>
    <row r="156" spans="1:16">
      <c r="A156" s="294"/>
      <c r="B156" s="294" t="s">
        <v>254</v>
      </c>
      <c r="C156" s="294" t="s">
        <v>263</v>
      </c>
      <c r="D156" s="295" t="s">
        <v>1041</v>
      </c>
      <c r="E156" s="296">
        <v>11</v>
      </c>
      <c r="F156" s="294">
        <v>3.8</v>
      </c>
      <c r="G156" s="308">
        <f t="shared" si="26"/>
        <v>7.491557610000001</v>
      </c>
      <c r="H156" s="294">
        <v>107.7</v>
      </c>
      <c r="I156" s="297"/>
      <c r="J156" s="297"/>
      <c r="K156" s="294">
        <f t="shared" si="27"/>
        <v>2.4087999999999998</v>
      </c>
      <c r="L156" s="294">
        <f t="shared" si="28"/>
        <v>0.46234626619550639</v>
      </c>
      <c r="M156" s="309">
        <f t="shared" si="25"/>
        <v>1.0510019550837213</v>
      </c>
      <c r="N156" s="294">
        <v>0</v>
      </c>
      <c r="O156" s="294" t="str">
        <f t="shared" si="23"/>
        <v/>
      </c>
      <c r="P156" s="294"/>
    </row>
    <row r="157" spans="1:16">
      <c r="A157" s="294"/>
      <c r="B157" s="294" t="s">
        <v>254</v>
      </c>
      <c r="C157" s="294" t="s">
        <v>263</v>
      </c>
      <c r="D157" s="295" t="s">
        <v>1046</v>
      </c>
      <c r="E157" s="296">
        <v>12</v>
      </c>
      <c r="F157" s="294">
        <v>-0.6</v>
      </c>
      <c r="G157" s="308">
        <f t="shared" si="26"/>
        <v>4.5121656499999991</v>
      </c>
      <c r="H157" s="294">
        <v>70.5</v>
      </c>
      <c r="I157" s="297"/>
      <c r="J157" s="297"/>
      <c r="K157" s="294">
        <f t="shared" si="27"/>
        <v>2.5144000000000002</v>
      </c>
      <c r="L157" s="294">
        <f t="shared" si="28"/>
        <v>0.39973353071255374</v>
      </c>
      <c r="M157" s="309">
        <f>$I$146*L157*(G157/K157)+$J$146</f>
        <v>0.42408033669978201</v>
      </c>
      <c r="N157" s="294">
        <v>0</v>
      </c>
      <c r="O157" s="294" t="str">
        <f t="shared" si="23"/>
        <v/>
      </c>
      <c r="P157" s="294"/>
    </row>
    <row r="158" spans="1:16">
      <c r="A158" s="294">
        <v>14</v>
      </c>
      <c r="B158" s="294" t="s">
        <v>254</v>
      </c>
      <c r="C158" s="294" t="s">
        <v>265</v>
      </c>
      <c r="D158" s="295" t="s">
        <v>1046</v>
      </c>
      <c r="E158" s="296">
        <v>1</v>
      </c>
      <c r="F158" s="294">
        <v>-3.3</v>
      </c>
      <c r="G158" s="308">
        <f t="shared" si="26"/>
        <v>9.5877441099999992</v>
      </c>
      <c r="H158" s="294">
        <v>166.7</v>
      </c>
      <c r="I158" s="306">
        <v>0.625</v>
      </c>
      <c r="J158" s="307">
        <v>0.56000000000000005</v>
      </c>
      <c r="K158" s="294">
        <f t="shared" si="27"/>
        <v>2.5792000000000002</v>
      </c>
      <c r="L158" s="294">
        <f t="shared" si="28"/>
        <v>0.36247624441103027</v>
      </c>
      <c r="M158" s="309">
        <f>$I$158*L158*(G158/K158)+$J$158</f>
        <v>1.4021529634593031</v>
      </c>
      <c r="N158" s="294">
        <v>0</v>
      </c>
      <c r="O158" s="294" t="str">
        <f t="shared" si="23"/>
        <v/>
      </c>
      <c r="P158" s="294">
        <f>AVERAGE(O158:O169)</f>
        <v>3.8059960466244802</v>
      </c>
    </row>
    <row r="159" spans="1:16">
      <c r="A159" s="294"/>
      <c r="B159" s="294" t="s">
        <v>254</v>
      </c>
      <c r="C159" s="294" t="s">
        <v>265</v>
      </c>
      <c r="D159" s="295" t="s">
        <v>1041</v>
      </c>
      <c r="E159" s="296">
        <v>2</v>
      </c>
      <c r="F159" s="294">
        <v>-2.1</v>
      </c>
      <c r="G159" s="308">
        <f t="shared" si="26"/>
        <v>9.5362869200000002</v>
      </c>
      <c r="H159" s="294">
        <v>112.4</v>
      </c>
      <c r="I159" s="297"/>
      <c r="J159" s="297"/>
      <c r="K159" s="294">
        <f t="shared" si="27"/>
        <v>2.5503999999999998</v>
      </c>
      <c r="L159" s="294">
        <f t="shared" si="28"/>
        <v>0.37888410504208653</v>
      </c>
      <c r="M159" s="309">
        <f t="shared" ref="M159:M169" si="29">$I$158*L159*(G159/K159)+$J$158</f>
        <v>1.4454364842546159</v>
      </c>
      <c r="N159" s="294">
        <v>0</v>
      </c>
      <c r="O159" s="294" t="str">
        <f t="shared" si="23"/>
        <v/>
      </c>
      <c r="P159" s="294"/>
    </row>
    <row r="160" spans="1:16">
      <c r="A160" s="294"/>
      <c r="B160" s="294" t="s">
        <v>254</v>
      </c>
      <c r="C160" s="294" t="s">
        <v>265</v>
      </c>
      <c r="D160" s="295" t="s">
        <v>1041</v>
      </c>
      <c r="E160" s="296">
        <v>3</v>
      </c>
      <c r="F160" s="294">
        <v>1.7</v>
      </c>
      <c r="G160" s="308">
        <f t="shared" si="26"/>
        <v>12.89405249</v>
      </c>
      <c r="H160" s="294">
        <v>150.30000000000001</v>
      </c>
      <c r="I160" s="297"/>
      <c r="J160" s="297"/>
      <c r="K160" s="294">
        <f t="shared" si="27"/>
        <v>2.4592000000000001</v>
      </c>
      <c r="L160" s="294">
        <f t="shared" si="28"/>
        <v>0.4322675669040601</v>
      </c>
      <c r="M160" s="309">
        <f t="shared" si="29"/>
        <v>1.976538075742502</v>
      </c>
      <c r="N160" s="294">
        <v>0</v>
      </c>
      <c r="O160" s="294" t="str">
        <f t="shared" si="23"/>
        <v/>
      </c>
      <c r="P160" s="294"/>
    </row>
    <row r="161" spans="1:16">
      <c r="A161" s="294"/>
      <c r="B161" s="294" t="s">
        <v>254</v>
      </c>
      <c r="C161" s="294" t="s">
        <v>265</v>
      </c>
      <c r="D161" s="295" t="s">
        <v>1041</v>
      </c>
      <c r="E161" s="296">
        <v>4</v>
      </c>
      <c r="F161" s="294">
        <v>5.5</v>
      </c>
      <c r="G161" s="308">
        <f t="shared" si="26"/>
        <v>15.826093180000001</v>
      </c>
      <c r="H161" s="294">
        <v>172.6</v>
      </c>
      <c r="I161" s="297"/>
      <c r="J161" s="297"/>
      <c r="K161" s="294">
        <f t="shared" si="27"/>
        <v>2.3679999999999999</v>
      </c>
      <c r="L161" s="294">
        <f t="shared" si="28"/>
        <v>0.48678823254741066</v>
      </c>
      <c r="M161" s="309">
        <f t="shared" si="29"/>
        <v>2.5933498541023092</v>
      </c>
      <c r="N161" s="294">
        <v>0</v>
      </c>
      <c r="O161" s="294" t="str">
        <f t="shared" si="23"/>
        <v/>
      </c>
      <c r="P161" s="294"/>
    </row>
    <row r="162" spans="1:16">
      <c r="A162" s="294"/>
      <c r="B162" s="294" t="s">
        <v>254</v>
      </c>
      <c r="C162" s="294" t="s">
        <v>265</v>
      </c>
      <c r="D162" s="295" t="s">
        <v>1041</v>
      </c>
      <c r="E162" s="296">
        <v>5</v>
      </c>
      <c r="F162" s="294">
        <v>10.4</v>
      </c>
      <c r="G162" s="308">
        <f t="shared" si="26"/>
        <v>20.464675230000001</v>
      </c>
      <c r="H162" s="294">
        <v>235.1</v>
      </c>
      <c r="I162" s="297"/>
      <c r="J162" s="297"/>
      <c r="K162" s="294">
        <f t="shared" si="27"/>
        <v>2.2504</v>
      </c>
      <c r="L162" s="294">
        <f t="shared" si="28"/>
        <v>0.55648248816913681</v>
      </c>
      <c r="M162" s="309">
        <f t="shared" si="29"/>
        <v>3.7228358823886043</v>
      </c>
      <c r="N162" s="294">
        <v>0</v>
      </c>
      <c r="O162" s="294" t="str">
        <f t="shared" si="23"/>
        <v/>
      </c>
      <c r="P162" s="294"/>
    </row>
    <row r="163" spans="1:16">
      <c r="A163" s="294"/>
      <c r="B163" s="294" t="s">
        <v>254</v>
      </c>
      <c r="C163" s="294" t="s">
        <v>265</v>
      </c>
      <c r="D163" s="295" t="s">
        <v>1041</v>
      </c>
      <c r="E163" s="296">
        <v>6</v>
      </c>
      <c r="F163" s="294">
        <v>12.9</v>
      </c>
      <c r="G163" s="308">
        <f t="shared" si="26"/>
        <v>15.7187777</v>
      </c>
      <c r="H163" s="294">
        <v>129</v>
      </c>
      <c r="I163" s="297"/>
      <c r="J163" s="297"/>
      <c r="K163" s="294">
        <f t="shared" si="27"/>
        <v>2.1903999999999999</v>
      </c>
      <c r="L163" s="294">
        <f t="shared" si="28"/>
        <v>0.5909090785245259</v>
      </c>
      <c r="M163" s="309">
        <f t="shared" si="29"/>
        <v>3.2103060075325476</v>
      </c>
      <c r="N163" s="294">
        <v>0</v>
      </c>
      <c r="O163" s="294" t="str">
        <f t="shared" si="23"/>
        <v/>
      </c>
      <c r="P163" s="294"/>
    </row>
    <row r="164" spans="1:16">
      <c r="A164" s="294"/>
      <c r="B164" s="294" t="s">
        <v>254</v>
      </c>
      <c r="C164" s="294" t="s">
        <v>265</v>
      </c>
      <c r="D164" s="295" t="s">
        <v>1041</v>
      </c>
      <c r="E164" s="296">
        <v>7</v>
      </c>
      <c r="F164" s="294">
        <v>17.7</v>
      </c>
      <c r="G164" s="308">
        <f t="shared" si="26"/>
        <v>16.496998570000002</v>
      </c>
      <c r="H164" s="294">
        <v>154.9</v>
      </c>
      <c r="I164" s="297"/>
      <c r="J164" s="297"/>
      <c r="K164" s="294">
        <f t="shared" si="27"/>
        <v>2.0752000000000002</v>
      </c>
      <c r="L164" s="294">
        <f t="shared" si="28"/>
        <v>0.65331554390309887</v>
      </c>
      <c r="M164" s="309">
        <f t="shared" si="29"/>
        <v>3.8059960466244802</v>
      </c>
      <c r="N164" s="294">
        <v>1</v>
      </c>
      <c r="O164" s="294">
        <f t="shared" si="23"/>
        <v>3.8059960466244802</v>
      </c>
      <c r="P164" s="294"/>
    </row>
    <row r="165" spans="1:16">
      <c r="A165" s="294"/>
      <c r="B165" s="294" t="s">
        <v>254</v>
      </c>
      <c r="C165" s="294" t="s">
        <v>265</v>
      </c>
      <c r="D165" s="295" t="s">
        <v>1041</v>
      </c>
      <c r="E165" s="296">
        <v>8</v>
      </c>
      <c r="F165" s="294">
        <v>18.399999999999999</v>
      </c>
      <c r="G165" s="308">
        <f t="shared" si="26"/>
        <v>14.18840494</v>
      </c>
      <c r="H165" s="294">
        <v>120.8</v>
      </c>
      <c r="I165" s="297"/>
      <c r="J165" s="297"/>
      <c r="K165" s="294">
        <f t="shared" si="27"/>
        <v>2.0583999999999998</v>
      </c>
      <c r="L165" s="294">
        <f t="shared" si="28"/>
        <v>0.66192047983258717</v>
      </c>
      <c r="M165" s="309">
        <f t="shared" si="29"/>
        <v>3.411606771625975</v>
      </c>
      <c r="N165" s="294">
        <v>0</v>
      </c>
      <c r="O165" s="294" t="str">
        <f t="shared" si="23"/>
        <v/>
      </c>
      <c r="P165" s="294"/>
    </row>
    <row r="166" spans="1:16">
      <c r="A166" s="294"/>
      <c r="B166" s="294" t="s">
        <v>254</v>
      </c>
      <c r="C166" s="294" t="s">
        <v>265</v>
      </c>
      <c r="D166" s="295" t="s">
        <v>1041</v>
      </c>
      <c r="E166" s="296">
        <v>9</v>
      </c>
      <c r="F166" s="294">
        <v>16.2</v>
      </c>
      <c r="G166" s="308">
        <f t="shared" si="26"/>
        <v>14.134673319999999</v>
      </c>
      <c r="H166" s="294">
        <v>158.4</v>
      </c>
      <c r="I166" s="297"/>
      <c r="J166" s="297"/>
      <c r="K166" s="294">
        <f t="shared" si="27"/>
        <v>2.1112000000000002</v>
      </c>
      <c r="L166" s="294">
        <f t="shared" si="28"/>
        <v>0.63442324399527317</v>
      </c>
      <c r="M166" s="309">
        <f t="shared" si="29"/>
        <v>3.2147003186836387</v>
      </c>
      <c r="N166" s="294">
        <v>0</v>
      </c>
      <c r="O166" s="294" t="str">
        <f t="shared" si="23"/>
        <v/>
      </c>
      <c r="P166" s="294"/>
    </row>
    <row r="167" spans="1:16">
      <c r="A167" s="294"/>
      <c r="B167" s="294" t="s">
        <v>254</v>
      </c>
      <c r="C167" s="294" t="s">
        <v>265</v>
      </c>
      <c r="D167" s="295" t="s">
        <v>1046</v>
      </c>
      <c r="E167" s="296">
        <v>10</v>
      </c>
      <c r="F167" s="294">
        <v>10.5</v>
      </c>
      <c r="G167" s="308">
        <f t="shared" si="26"/>
        <v>13.93748106</v>
      </c>
      <c r="H167" s="294">
        <v>220.2</v>
      </c>
      <c r="I167" s="297"/>
      <c r="J167" s="297"/>
      <c r="K167" s="294">
        <f t="shared" si="27"/>
        <v>2.2480000000000002</v>
      </c>
      <c r="L167" s="294">
        <f t="shared" si="28"/>
        <v>0.55787898239898637</v>
      </c>
      <c r="M167" s="309">
        <f t="shared" si="29"/>
        <v>2.7217626086960478</v>
      </c>
      <c r="N167" s="294">
        <v>0</v>
      </c>
      <c r="O167" s="294" t="str">
        <f t="shared" si="23"/>
        <v/>
      </c>
      <c r="P167" s="294"/>
    </row>
    <row r="168" spans="1:16">
      <c r="A168" s="294"/>
      <c r="B168" s="294" t="s">
        <v>254</v>
      </c>
      <c r="C168" s="294" t="s">
        <v>265</v>
      </c>
      <c r="D168" s="295" t="s">
        <v>1041</v>
      </c>
      <c r="E168" s="296">
        <v>11</v>
      </c>
      <c r="F168" s="294">
        <v>4.9000000000000004</v>
      </c>
      <c r="G168" s="308">
        <f t="shared" si="26"/>
        <v>8.533949579999998</v>
      </c>
      <c r="H168" s="294">
        <v>130.6</v>
      </c>
      <c r="I168" s="297"/>
      <c r="J168" s="297"/>
      <c r="K168" s="294">
        <f t="shared" si="27"/>
        <v>2.3824000000000001</v>
      </c>
      <c r="L168" s="294">
        <f t="shared" si="28"/>
        <v>0.47816140006637126</v>
      </c>
      <c r="M168" s="309">
        <f t="shared" si="29"/>
        <v>1.6305080169337172</v>
      </c>
      <c r="N168" s="294">
        <v>0</v>
      </c>
      <c r="O168" s="294" t="str">
        <f t="shared" si="23"/>
        <v/>
      </c>
      <c r="P168" s="294"/>
    </row>
    <row r="169" spans="1:16">
      <c r="A169" s="294"/>
      <c r="B169" s="294" t="s">
        <v>254</v>
      </c>
      <c r="C169" s="294" t="s">
        <v>265</v>
      </c>
      <c r="D169" s="295" t="s">
        <v>1041</v>
      </c>
      <c r="E169" s="296">
        <v>12</v>
      </c>
      <c r="F169" s="294">
        <v>0.1</v>
      </c>
      <c r="G169" s="308">
        <f t="shared" si="26"/>
        <v>9.5648079500000023</v>
      </c>
      <c r="H169" s="294">
        <v>181.5</v>
      </c>
      <c r="I169" s="297"/>
      <c r="J169" s="297"/>
      <c r="K169" s="294">
        <f t="shared" si="27"/>
        <v>2.4975999999999998</v>
      </c>
      <c r="L169" s="294">
        <f t="shared" si="28"/>
        <v>0.4095726154111004</v>
      </c>
      <c r="M169" s="309">
        <f t="shared" si="29"/>
        <v>1.5403119514700079</v>
      </c>
      <c r="N169" s="294">
        <v>0</v>
      </c>
      <c r="O169" s="294" t="str">
        <f t="shared" si="23"/>
        <v/>
      </c>
      <c r="P169" s="294"/>
    </row>
    <row r="170" spans="1:16">
      <c r="A170" s="294">
        <v>15</v>
      </c>
      <c r="B170" s="294" t="s">
        <v>254</v>
      </c>
      <c r="C170" s="294" t="s">
        <v>266</v>
      </c>
      <c r="D170" s="295" t="s">
        <v>1041</v>
      </c>
      <c r="E170" s="296">
        <v>1</v>
      </c>
      <c r="F170" s="294">
        <v>-2.2000000000000002</v>
      </c>
      <c r="G170" s="308">
        <f t="shared" si="26"/>
        <v>8.0856072099999992</v>
      </c>
      <c r="H170" s="294">
        <v>133.69999999999999</v>
      </c>
      <c r="I170" s="306">
        <v>0.54700000000000004</v>
      </c>
      <c r="J170" s="307">
        <v>0.84</v>
      </c>
      <c r="K170" s="294">
        <f t="shared" si="27"/>
        <v>2.5528</v>
      </c>
      <c r="L170" s="294">
        <f t="shared" si="28"/>
        <v>0.37750691329569291</v>
      </c>
      <c r="M170" s="309">
        <f>$I$170*L170*(G170/K170)+$J$170</f>
        <v>1.4940456843946919</v>
      </c>
      <c r="N170" s="294">
        <v>0</v>
      </c>
      <c r="O170" s="294" t="str">
        <f t="shared" si="23"/>
        <v/>
      </c>
      <c r="P170" s="294">
        <f>AVERAGE(O170:O181)</f>
        <v>3.6006413393145609</v>
      </c>
    </row>
    <row r="171" spans="1:16">
      <c r="A171" s="294"/>
      <c r="B171" s="294" t="s">
        <v>254</v>
      </c>
      <c r="C171" s="294" t="s">
        <v>266</v>
      </c>
      <c r="D171" s="295" t="s">
        <v>1046</v>
      </c>
      <c r="E171" s="296">
        <v>2</v>
      </c>
      <c r="F171" s="294">
        <v>-1.8</v>
      </c>
      <c r="G171" s="308">
        <f t="shared" si="26"/>
        <v>9.1493728699999988</v>
      </c>
      <c r="H171" s="294">
        <v>103.9</v>
      </c>
      <c r="I171" s="297"/>
      <c r="J171" s="297"/>
      <c r="K171" s="294">
        <f t="shared" si="27"/>
        <v>2.5432000000000001</v>
      </c>
      <c r="L171" s="294">
        <f t="shared" si="28"/>
        <v>0.38302579691155764</v>
      </c>
      <c r="M171" s="309">
        <f t="shared" ref="M171:M180" si="30">$I$170*L171*(G171/K171)+$J$170</f>
        <v>1.5937479834935067</v>
      </c>
      <c r="N171" s="294">
        <v>0</v>
      </c>
      <c r="O171" s="294" t="str">
        <f t="shared" si="23"/>
        <v/>
      </c>
      <c r="P171" s="294"/>
    </row>
    <row r="172" spans="1:16">
      <c r="A172" s="294"/>
      <c r="B172" s="294" t="s">
        <v>254</v>
      </c>
      <c r="C172" s="294" t="s">
        <v>266</v>
      </c>
      <c r="D172" s="295" t="s">
        <v>1046</v>
      </c>
      <c r="E172" s="296">
        <v>3</v>
      </c>
      <c r="F172" s="294">
        <v>1.2</v>
      </c>
      <c r="G172" s="308">
        <f t="shared" si="26"/>
        <v>12.980539159999999</v>
      </c>
      <c r="H172" s="294">
        <v>152.19999999999999</v>
      </c>
      <c r="I172" s="297"/>
      <c r="J172" s="297"/>
      <c r="K172" s="294">
        <f t="shared" si="27"/>
        <v>2.4712000000000001</v>
      </c>
      <c r="L172" s="294">
        <f t="shared" si="28"/>
        <v>0.42514872248376501</v>
      </c>
      <c r="M172" s="309">
        <f t="shared" si="30"/>
        <v>2.0615550435579446</v>
      </c>
      <c r="N172" s="294">
        <v>0</v>
      </c>
      <c r="O172" s="294" t="str">
        <f t="shared" si="23"/>
        <v/>
      </c>
      <c r="P172" s="294"/>
    </row>
    <row r="173" spans="1:16">
      <c r="A173" s="294"/>
      <c r="B173" s="294" t="s">
        <v>254</v>
      </c>
      <c r="C173" s="294" t="s">
        <v>266</v>
      </c>
      <c r="D173" s="295" t="s">
        <v>1041</v>
      </c>
      <c r="E173" s="296">
        <v>4</v>
      </c>
      <c r="F173" s="294">
        <v>4.8</v>
      </c>
      <c r="G173" s="308">
        <f t="shared" si="26"/>
        <v>16.103760909999998</v>
      </c>
      <c r="H173" s="294">
        <v>178.7</v>
      </c>
      <c r="I173" s="297"/>
      <c r="J173" s="297"/>
      <c r="K173" s="294">
        <f t="shared" si="27"/>
        <v>2.3847999999999998</v>
      </c>
      <c r="L173" s="294">
        <f t="shared" si="28"/>
        <v>0.47672331586052336</v>
      </c>
      <c r="M173" s="309">
        <f t="shared" si="30"/>
        <v>2.6008772012183972</v>
      </c>
      <c r="N173" s="294">
        <v>0</v>
      </c>
      <c r="O173" s="294" t="str">
        <f t="shared" si="23"/>
        <v/>
      </c>
      <c r="P173" s="294"/>
    </row>
    <row r="174" spans="1:16">
      <c r="A174" s="294"/>
      <c r="B174" s="294" t="s">
        <v>254</v>
      </c>
      <c r="C174" s="294" t="s">
        <v>266</v>
      </c>
      <c r="D174" s="295" t="s">
        <v>1041</v>
      </c>
      <c r="E174" s="296">
        <v>5</v>
      </c>
      <c r="F174" s="294">
        <v>9.9</v>
      </c>
      <c r="G174" s="308">
        <f t="shared" si="26"/>
        <v>19.636223970000003</v>
      </c>
      <c r="H174" s="294">
        <v>216.9</v>
      </c>
      <c r="I174" s="297"/>
      <c r="J174" s="297"/>
      <c r="K174" s="294">
        <f t="shared" si="27"/>
        <v>2.2624</v>
      </c>
      <c r="L174" s="294">
        <f t="shared" si="28"/>
        <v>0.54947914156562316</v>
      </c>
      <c r="M174" s="309">
        <f t="shared" si="30"/>
        <v>3.448717924934749</v>
      </c>
      <c r="N174" s="294">
        <v>0</v>
      </c>
      <c r="O174" s="294" t="str">
        <f t="shared" si="23"/>
        <v/>
      </c>
      <c r="P174" s="294"/>
    </row>
    <row r="175" spans="1:16">
      <c r="A175" s="294"/>
      <c r="B175" s="294" t="s">
        <v>254</v>
      </c>
      <c r="C175" s="294" t="s">
        <v>266</v>
      </c>
      <c r="D175" s="295" t="s">
        <v>1041</v>
      </c>
      <c r="E175" s="296">
        <v>6</v>
      </c>
      <c r="F175" s="294">
        <v>11.4</v>
      </c>
      <c r="G175" s="308">
        <f t="shared" si="26"/>
        <v>16.005549290000001</v>
      </c>
      <c r="H175" s="294">
        <v>135.30000000000001</v>
      </c>
      <c r="I175" s="297"/>
      <c r="J175" s="297"/>
      <c r="K175" s="294">
        <f t="shared" si="27"/>
        <v>2.2263999999999999</v>
      </c>
      <c r="L175" s="294">
        <f t="shared" si="28"/>
        <v>0.57037959366923263</v>
      </c>
      <c r="M175" s="309">
        <f t="shared" si="30"/>
        <v>3.082945368830508</v>
      </c>
      <c r="N175" s="294">
        <v>0</v>
      </c>
      <c r="O175" s="294" t="str">
        <f t="shared" si="23"/>
        <v/>
      </c>
      <c r="P175" s="294"/>
    </row>
    <row r="176" spans="1:16">
      <c r="A176" s="294"/>
      <c r="B176" s="294" t="s">
        <v>254</v>
      </c>
      <c r="C176" s="294" t="s">
        <v>266</v>
      </c>
      <c r="D176" s="295" t="s">
        <v>1041</v>
      </c>
      <c r="E176" s="296">
        <v>7</v>
      </c>
      <c r="F176" s="294">
        <v>16.7</v>
      </c>
      <c r="G176" s="308">
        <f t="shared" si="26"/>
        <v>16.533414010000001</v>
      </c>
      <c r="H176" s="294">
        <v>155.69999999999999</v>
      </c>
      <c r="I176" s="297"/>
      <c r="J176" s="297"/>
      <c r="K176" s="294">
        <f t="shared" si="27"/>
        <v>2.0992000000000002</v>
      </c>
      <c r="L176" s="294">
        <f t="shared" si="28"/>
        <v>0.64078736157508165</v>
      </c>
      <c r="M176" s="309">
        <f t="shared" si="30"/>
        <v>3.6006413393145609</v>
      </c>
      <c r="N176" s="294">
        <v>1</v>
      </c>
      <c r="O176" s="294">
        <f t="shared" si="23"/>
        <v>3.6006413393145609</v>
      </c>
      <c r="P176" s="294"/>
    </row>
    <row r="177" spans="1:16">
      <c r="A177" s="294"/>
      <c r="B177" s="294" t="s">
        <v>254</v>
      </c>
      <c r="C177" s="294" t="s">
        <v>266</v>
      </c>
      <c r="D177" s="295" t="s">
        <v>1041</v>
      </c>
      <c r="E177" s="296">
        <v>8</v>
      </c>
      <c r="F177" s="294">
        <v>17.100000000000001</v>
      </c>
      <c r="G177" s="308">
        <f t="shared" si="26"/>
        <v>15.640470609999999</v>
      </c>
      <c r="H177" s="294">
        <v>152.69999999999999</v>
      </c>
      <c r="I177" s="297"/>
      <c r="J177" s="297"/>
      <c r="K177" s="294">
        <f t="shared" si="27"/>
        <v>2.0895999999999999</v>
      </c>
      <c r="L177" s="294">
        <f t="shared" si="28"/>
        <v>0.64583116355221615</v>
      </c>
      <c r="M177" s="309">
        <f t="shared" si="30"/>
        <v>3.484191961576673</v>
      </c>
      <c r="N177" s="294">
        <v>0</v>
      </c>
      <c r="O177" s="294" t="str">
        <f t="shared" si="23"/>
        <v/>
      </c>
      <c r="P177" s="294"/>
    </row>
    <row r="178" spans="1:16">
      <c r="A178" s="294"/>
      <c r="B178" s="294" t="s">
        <v>254</v>
      </c>
      <c r="C178" s="294" t="s">
        <v>266</v>
      </c>
      <c r="D178" s="295" t="s">
        <v>1041</v>
      </c>
      <c r="E178" s="296">
        <v>9</v>
      </c>
      <c r="F178" s="294">
        <v>15.8</v>
      </c>
      <c r="G178" s="308">
        <f t="shared" si="26"/>
        <v>13.34718943</v>
      </c>
      <c r="H178" s="294">
        <v>141.1</v>
      </c>
      <c r="I178" s="297"/>
      <c r="J178" s="297"/>
      <c r="K178" s="294">
        <f t="shared" si="27"/>
        <v>2.1208</v>
      </c>
      <c r="L178" s="294">
        <f t="shared" si="28"/>
        <v>0.62928564442883417</v>
      </c>
      <c r="M178" s="309">
        <f t="shared" si="30"/>
        <v>3.0063332241931757</v>
      </c>
      <c r="N178" s="294">
        <v>0</v>
      </c>
      <c r="O178" s="294" t="str">
        <f t="shared" si="23"/>
        <v/>
      </c>
      <c r="P178" s="294"/>
    </row>
    <row r="179" spans="1:16">
      <c r="A179" s="294"/>
      <c r="B179" s="294" t="s">
        <v>254</v>
      </c>
      <c r="C179" s="294" t="s">
        <v>266</v>
      </c>
      <c r="D179" s="295" t="s">
        <v>1046</v>
      </c>
      <c r="E179" s="296">
        <v>10</v>
      </c>
      <c r="F179" s="294">
        <v>11.2</v>
      </c>
      <c r="G179" s="308">
        <f t="shared" si="26"/>
        <v>13.341178229999997</v>
      </c>
      <c r="H179" s="294">
        <v>207.1</v>
      </c>
      <c r="I179" s="297"/>
      <c r="J179" s="297"/>
      <c r="K179" s="294">
        <f t="shared" si="27"/>
        <v>2.2311999999999999</v>
      </c>
      <c r="L179" s="294">
        <f t="shared" si="28"/>
        <v>0.56761265844301101</v>
      </c>
      <c r="M179" s="309">
        <f t="shared" si="30"/>
        <v>2.6965005549099592</v>
      </c>
      <c r="N179" s="294">
        <v>0</v>
      </c>
      <c r="O179" s="294" t="str">
        <f t="shared" si="23"/>
        <v/>
      </c>
      <c r="P179" s="294"/>
    </row>
    <row r="180" spans="1:16">
      <c r="A180" s="294"/>
      <c r="B180" s="294" t="s">
        <v>254</v>
      </c>
      <c r="C180" s="294" t="s">
        <v>266</v>
      </c>
      <c r="D180" s="295" t="s">
        <v>1041</v>
      </c>
      <c r="E180" s="296">
        <v>11</v>
      </c>
      <c r="F180" s="294">
        <v>5.7</v>
      </c>
      <c r="G180" s="308">
        <f t="shared" si="26"/>
        <v>7.9421986800000006</v>
      </c>
      <c r="H180" s="294">
        <v>117.6</v>
      </c>
      <c r="I180" s="297"/>
      <c r="J180" s="297"/>
      <c r="K180" s="294">
        <f t="shared" si="27"/>
        <v>2.3632</v>
      </c>
      <c r="L180" s="294">
        <f t="shared" si="28"/>
        <v>0.48966257712415773</v>
      </c>
      <c r="M180" s="309">
        <f t="shared" si="30"/>
        <v>1.7401699467262373</v>
      </c>
      <c r="N180" s="294">
        <v>0</v>
      </c>
      <c r="O180" s="294" t="str">
        <f t="shared" si="23"/>
        <v/>
      </c>
      <c r="P180" s="294"/>
    </row>
    <row r="181" spans="1:16">
      <c r="A181" s="294"/>
      <c r="B181" s="294" t="s">
        <v>254</v>
      </c>
      <c r="C181" s="294" t="s">
        <v>266</v>
      </c>
      <c r="D181" s="295" t="s">
        <v>1041</v>
      </c>
      <c r="E181" s="296">
        <v>12</v>
      </c>
      <c r="F181" s="294">
        <v>0.8</v>
      </c>
      <c r="G181" s="308">
        <f t="shared" si="26"/>
        <v>9.0504398600000009</v>
      </c>
      <c r="H181" s="294">
        <v>170.2</v>
      </c>
      <c r="I181" s="297"/>
      <c r="J181" s="297"/>
      <c r="K181" s="294">
        <f t="shared" si="27"/>
        <v>2.4807999999999999</v>
      </c>
      <c r="L181" s="294">
        <f t="shared" si="28"/>
        <v>0.41947006088789601</v>
      </c>
      <c r="M181" s="309">
        <f>$I$170*L181*(G181/K181)+$J$170</f>
        <v>1.6770785802352601</v>
      </c>
      <c r="N181" s="294">
        <v>0</v>
      </c>
      <c r="O181" s="294" t="str">
        <f t="shared" si="23"/>
        <v/>
      </c>
      <c r="P181" s="294"/>
    </row>
    <row r="182" spans="1:16">
      <c r="A182" s="294">
        <v>16</v>
      </c>
      <c r="B182" s="294" t="s">
        <v>254</v>
      </c>
      <c r="C182" s="294" t="s">
        <v>267</v>
      </c>
      <c r="D182" s="295" t="s">
        <v>1041</v>
      </c>
      <c r="E182" s="296">
        <v>1</v>
      </c>
      <c r="F182" s="294">
        <v>-0.9</v>
      </c>
      <c r="G182" s="308">
        <f t="shared" ref="G182:G213" si="31">$T$11+$T$12*H182+INDEX($T$13:$T$24,MATCH(E182,$S$13:$S$24,0),1)</f>
        <v>3.0693803500000003</v>
      </c>
      <c r="H182" s="294">
        <v>23.5</v>
      </c>
      <c r="I182" s="306">
        <v>0.76700000000000002</v>
      </c>
      <c r="J182" s="307">
        <v>1.31</v>
      </c>
      <c r="K182" s="294">
        <f t="shared" si="27"/>
        <v>2.5215999999999998</v>
      </c>
      <c r="L182" s="294">
        <f t="shared" si="28"/>
        <v>0.39553668446706691</v>
      </c>
      <c r="M182" s="309">
        <f>$I$182*L182*(G182/K182)+$J$182</f>
        <v>1.6792807297805559</v>
      </c>
      <c r="N182" s="294">
        <v>0</v>
      </c>
      <c r="O182" s="294" t="str">
        <f t="shared" si="23"/>
        <v/>
      </c>
      <c r="P182" s="294">
        <f>AVERAGE(O182:O193)</f>
        <v>5.3462066434995492</v>
      </c>
    </row>
    <row r="183" spans="1:16">
      <c r="A183" s="294"/>
      <c r="B183" s="294" t="s">
        <v>254</v>
      </c>
      <c r="C183" s="294" t="s">
        <v>267</v>
      </c>
      <c r="D183" s="295" t="s">
        <v>1041</v>
      </c>
      <c r="E183" s="296">
        <v>2</v>
      </c>
      <c r="F183" s="294">
        <v>-0.2</v>
      </c>
      <c r="G183" s="308">
        <f t="shared" si="31"/>
        <v>6.4728380300000001</v>
      </c>
      <c r="H183" s="294">
        <v>45.1</v>
      </c>
      <c r="I183" s="297"/>
      <c r="J183" s="297"/>
      <c r="K183" s="294">
        <f t="shared" si="27"/>
        <v>2.5047999999999999</v>
      </c>
      <c r="L183" s="294">
        <f t="shared" si="28"/>
        <v>0.40534823579524998</v>
      </c>
      <c r="M183" s="309">
        <f t="shared" ref="M183:M193" si="32">$I$182*L183*(G183/K183)+$J$182</f>
        <v>2.1134249904701004</v>
      </c>
      <c r="N183" s="294">
        <v>0</v>
      </c>
      <c r="O183" s="294" t="str">
        <f t="shared" si="23"/>
        <v/>
      </c>
      <c r="P183" s="294"/>
    </row>
    <row r="184" spans="1:16">
      <c r="A184" s="294"/>
      <c r="B184" s="294" t="s">
        <v>254</v>
      </c>
      <c r="C184" s="294" t="s">
        <v>267</v>
      </c>
      <c r="D184" s="295" t="s">
        <v>1041</v>
      </c>
      <c r="E184" s="296">
        <v>3</v>
      </c>
      <c r="F184" s="294">
        <v>3.3</v>
      </c>
      <c r="G184" s="308">
        <f t="shared" si="31"/>
        <v>11.300876989999999</v>
      </c>
      <c r="H184" s="294">
        <v>115.3</v>
      </c>
      <c r="I184" s="297"/>
      <c r="J184" s="297"/>
      <c r="K184" s="294">
        <f t="shared" si="27"/>
        <v>2.4207999999999998</v>
      </c>
      <c r="L184" s="294">
        <f t="shared" si="28"/>
        <v>0.45516556568749483</v>
      </c>
      <c r="M184" s="309">
        <f t="shared" si="32"/>
        <v>2.9397387814330869</v>
      </c>
      <c r="N184" s="294">
        <v>0</v>
      </c>
      <c r="O184" s="294" t="str">
        <f t="shared" si="23"/>
        <v/>
      </c>
      <c r="P184" s="294"/>
    </row>
    <row r="185" spans="1:16">
      <c r="A185" s="294"/>
      <c r="B185" s="294" t="s">
        <v>254</v>
      </c>
      <c r="C185" s="294" t="s">
        <v>267</v>
      </c>
      <c r="D185" s="295" t="s">
        <v>1041</v>
      </c>
      <c r="E185" s="296">
        <v>4</v>
      </c>
      <c r="F185" s="294">
        <v>7.5</v>
      </c>
      <c r="G185" s="308">
        <f t="shared" si="31"/>
        <v>16.86393322</v>
      </c>
      <c r="H185" s="294">
        <v>195.4</v>
      </c>
      <c r="I185" s="297"/>
      <c r="J185" s="297"/>
      <c r="K185" s="294">
        <f t="shared" si="27"/>
        <v>2.3199999999999998</v>
      </c>
      <c r="L185" s="294">
        <f t="shared" si="28"/>
        <v>0.51546248616696222</v>
      </c>
      <c r="M185" s="309">
        <f t="shared" si="32"/>
        <v>4.1838448414445732</v>
      </c>
      <c r="N185" s="294">
        <v>0</v>
      </c>
      <c r="O185" s="294" t="str">
        <f t="shared" si="23"/>
        <v/>
      </c>
      <c r="P185" s="294"/>
    </row>
    <row r="186" spans="1:16">
      <c r="A186" s="294"/>
      <c r="B186" s="294" t="s">
        <v>254</v>
      </c>
      <c r="C186" s="294" t="s">
        <v>267</v>
      </c>
      <c r="D186" s="295" t="s">
        <v>1046</v>
      </c>
      <c r="E186" s="296">
        <v>5</v>
      </c>
      <c r="F186" s="294">
        <v>12.5</v>
      </c>
      <c r="G186" s="308">
        <f t="shared" si="31"/>
        <v>20.733239099999999</v>
      </c>
      <c r="H186" s="294">
        <v>241</v>
      </c>
      <c r="I186" s="297"/>
      <c r="J186" s="297"/>
      <c r="K186" s="294">
        <f t="shared" si="27"/>
        <v>2.2000000000000002</v>
      </c>
      <c r="L186" s="294">
        <f t="shared" si="28"/>
        <v>0.58547499969373429</v>
      </c>
      <c r="M186" s="309">
        <f t="shared" si="32"/>
        <v>5.5420247047451134</v>
      </c>
      <c r="N186" s="294">
        <v>0</v>
      </c>
      <c r="O186" s="294" t="str">
        <f t="shared" si="23"/>
        <v/>
      </c>
      <c r="P186" s="294"/>
    </row>
    <row r="187" spans="1:16">
      <c r="A187" s="294"/>
      <c r="B187" s="294" t="s">
        <v>254</v>
      </c>
      <c r="C187" s="294" t="s">
        <v>267</v>
      </c>
      <c r="D187" s="295" t="s">
        <v>1041</v>
      </c>
      <c r="E187" s="296">
        <v>6</v>
      </c>
      <c r="F187" s="294">
        <v>15.3</v>
      </c>
      <c r="G187" s="308">
        <f t="shared" si="31"/>
        <v>16.779377390000001</v>
      </c>
      <c r="H187" s="294">
        <v>152.30000000000001</v>
      </c>
      <c r="I187" s="297"/>
      <c r="J187" s="297"/>
      <c r="K187" s="294">
        <f t="shared" si="27"/>
        <v>2.1328</v>
      </c>
      <c r="L187" s="294">
        <f t="shared" si="28"/>
        <v>0.62280743428728291</v>
      </c>
      <c r="M187" s="309">
        <f t="shared" si="32"/>
        <v>5.0681565043995809</v>
      </c>
      <c r="N187" s="294">
        <v>0</v>
      </c>
      <c r="O187" s="294" t="str">
        <f t="shared" si="23"/>
        <v/>
      </c>
      <c r="P187" s="294"/>
    </row>
    <row r="188" spans="1:16">
      <c r="A188" s="294"/>
      <c r="B188" s="294" t="s">
        <v>254</v>
      </c>
      <c r="C188" s="294" t="s">
        <v>267</v>
      </c>
      <c r="D188" s="295" t="s">
        <v>1046</v>
      </c>
      <c r="E188" s="296">
        <v>7</v>
      </c>
      <c r="F188" s="294">
        <v>19.600000000000001</v>
      </c>
      <c r="G188" s="308">
        <f t="shared" si="31"/>
        <v>15.791449420000001</v>
      </c>
      <c r="H188" s="294">
        <v>139.4</v>
      </c>
      <c r="I188" s="297"/>
      <c r="J188" s="297"/>
      <c r="K188" s="294">
        <f t="shared" si="27"/>
        <v>2.0295999999999998</v>
      </c>
      <c r="L188" s="294">
        <f t="shared" si="28"/>
        <v>0.67634220580418636</v>
      </c>
      <c r="M188" s="309">
        <f t="shared" si="32"/>
        <v>5.3462066434995492</v>
      </c>
      <c r="N188" s="294">
        <v>1</v>
      </c>
      <c r="O188" s="294">
        <f t="shared" si="23"/>
        <v>5.3462066434995492</v>
      </c>
      <c r="P188" s="294"/>
    </row>
    <row r="189" spans="1:16">
      <c r="A189" s="294"/>
      <c r="B189" s="294" t="s">
        <v>254</v>
      </c>
      <c r="C189" s="294" t="s">
        <v>267</v>
      </c>
      <c r="D189" s="295" t="s">
        <v>1046</v>
      </c>
      <c r="E189" s="296">
        <v>8</v>
      </c>
      <c r="F189" s="294">
        <v>21.6</v>
      </c>
      <c r="G189" s="308">
        <f t="shared" si="31"/>
        <v>16.359675550000002</v>
      </c>
      <c r="H189" s="294">
        <v>168.5</v>
      </c>
      <c r="I189" s="297"/>
      <c r="J189" s="297"/>
      <c r="K189" s="294">
        <f t="shared" si="27"/>
        <v>1.9815999999999998</v>
      </c>
      <c r="L189" s="294">
        <f t="shared" si="28"/>
        <v>0.69940915925890268</v>
      </c>
      <c r="M189" s="309">
        <f t="shared" si="32"/>
        <v>5.7387928993275157</v>
      </c>
      <c r="N189" s="294">
        <v>0</v>
      </c>
      <c r="O189" s="294" t="str">
        <f t="shared" si="23"/>
        <v/>
      </c>
      <c r="P189" s="294"/>
    </row>
    <row r="190" spans="1:16">
      <c r="A190" s="294"/>
      <c r="B190" s="294" t="s">
        <v>254</v>
      </c>
      <c r="C190" s="294" t="s">
        <v>267</v>
      </c>
      <c r="D190" s="295" t="s">
        <v>1046</v>
      </c>
      <c r="E190" s="296">
        <v>9</v>
      </c>
      <c r="F190" s="294">
        <v>17.7</v>
      </c>
      <c r="G190" s="308">
        <f t="shared" si="31"/>
        <v>13.351741359999998</v>
      </c>
      <c r="H190" s="294">
        <v>141.19999999999999</v>
      </c>
      <c r="I190" s="297"/>
      <c r="J190" s="297"/>
      <c r="K190" s="294">
        <f t="shared" si="27"/>
        <v>2.0752000000000002</v>
      </c>
      <c r="L190" s="294">
        <f t="shared" si="28"/>
        <v>0.65331554390309887</v>
      </c>
      <c r="M190" s="309">
        <f t="shared" si="32"/>
        <v>4.534009459022589</v>
      </c>
      <c r="N190" s="294">
        <v>0</v>
      </c>
      <c r="O190" s="294" t="str">
        <f t="shared" si="23"/>
        <v/>
      </c>
      <c r="P190" s="294"/>
    </row>
    <row r="191" spans="1:16">
      <c r="A191" s="294"/>
      <c r="B191" s="294" t="s">
        <v>254</v>
      </c>
      <c r="C191" s="294" t="s">
        <v>267</v>
      </c>
      <c r="D191" s="295" t="s">
        <v>1041</v>
      </c>
      <c r="E191" s="296">
        <v>10</v>
      </c>
      <c r="F191" s="294">
        <v>10.6</v>
      </c>
      <c r="G191" s="308">
        <f t="shared" si="31"/>
        <v>9.3445836900000003</v>
      </c>
      <c r="H191" s="294">
        <v>119.3</v>
      </c>
      <c r="I191" s="297"/>
      <c r="J191" s="297"/>
      <c r="K191" s="294">
        <f t="shared" si="27"/>
        <v>2.2456</v>
      </c>
      <c r="L191" s="294">
        <f t="shared" si="28"/>
        <v>0.55927403042310664</v>
      </c>
      <c r="M191" s="309">
        <f t="shared" si="32"/>
        <v>3.0950384520435938</v>
      </c>
      <c r="N191" s="294">
        <v>0</v>
      </c>
      <c r="O191" s="294" t="str">
        <f t="shared" si="23"/>
        <v/>
      </c>
      <c r="P191" s="294"/>
    </row>
    <row r="192" spans="1:16">
      <c r="A192" s="294"/>
      <c r="B192" s="294" t="s">
        <v>254</v>
      </c>
      <c r="C192" s="294" t="s">
        <v>267</v>
      </c>
      <c r="D192" s="295" t="s">
        <v>1041</v>
      </c>
      <c r="E192" s="296">
        <v>11</v>
      </c>
      <c r="F192" s="294">
        <v>5.9</v>
      </c>
      <c r="G192" s="308">
        <f t="shared" si="31"/>
        <v>5.5478834999999993</v>
      </c>
      <c r="H192" s="294">
        <v>65</v>
      </c>
      <c r="I192" s="297"/>
      <c r="J192" s="297"/>
      <c r="K192" s="294">
        <f t="shared" si="27"/>
        <v>2.3584000000000001</v>
      </c>
      <c r="L192" s="294">
        <f t="shared" si="28"/>
        <v>0.49253593954393965</v>
      </c>
      <c r="M192" s="309">
        <f t="shared" si="32"/>
        <v>2.1986753957433907</v>
      </c>
      <c r="N192" s="294">
        <v>0</v>
      </c>
      <c r="O192" s="294" t="str">
        <f t="shared" si="23"/>
        <v/>
      </c>
      <c r="P192" s="294"/>
    </row>
    <row r="193" spans="1:16">
      <c r="A193" s="294"/>
      <c r="B193" s="294" t="s">
        <v>254</v>
      </c>
      <c r="C193" s="294" t="s">
        <v>267</v>
      </c>
      <c r="D193" s="295" t="s">
        <v>1041</v>
      </c>
      <c r="E193" s="296">
        <v>12</v>
      </c>
      <c r="F193" s="294">
        <v>1.5</v>
      </c>
      <c r="G193" s="308">
        <f t="shared" si="31"/>
        <v>2.9280940099999997</v>
      </c>
      <c r="H193" s="294">
        <v>35.700000000000003</v>
      </c>
      <c r="I193" s="297"/>
      <c r="J193" s="297"/>
      <c r="K193" s="294">
        <f t="shared" si="27"/>
        <v>2.464</v>
      </c>
      <c r="L193" s="294">
        <f t="shared" si="28"/>
        <v>0.42941746917909795</v>
      </c>
      <c r="M193" s="309">
        <f t="shared" si="32"/>
        <v>1.701398705234368</v>
      </c>
      <c r="N193" s="294">
        <v>0</v>
      </c>
      <c r="O193" s="294" t="str">
        <f t="shared" si="23"/>
        <v/>
      </c>
      <c r="P193" s="294"/>
    </row>
    <row r="194" spans="1:16">
      <c r="A194" s="294">
        <v>17</v>
      </c>
      <c r="B194" s="294" t="s">
        <v>254</v>
      </c>
      <c r="C194" s="294" t="s">
        <v>539</v>
      </c>
      <c r="D194" s="295" t="s">
        <v>1041</v>
      </c>
      <c r="E194" s="296">
        <v>1</v>
      </c>
      <c r="F194" s="294">
        <v>-2.1</v>
      </c>
      <c r="G194" s="308">
        <f t="shared" si="31"/>
        <v>7.9945686099999991</v>
      </c>
      <c r="H194" s="294">
        <v>131.69999999999999</v>
      </c>
      <c r="I194" s="306">
        <v>0.57399999999999995</v>
      </c>
      <c r="J194" s="307">
        <v>0.88</v>
      </c>
      <c r="K194" s="294">
        <f t="shared" si="27"/>
        <v>2.5503999999999998</v>
      </c>
      <c r="L194" s="294">
        <f t="shared" si="28"/>
        <v>0.37888410504208653</v>
      </c>
      <c r="M194" s="309">
        <f>$I$194*L194*(G194/K194)+$J$194</f>
        <v>1.5617183949578544</v>
      </c>
      <c r="N194" s="294">
        <v>0</v>
      </c>
      <c r="O194" s="294" t="str">
        <f t="shared" ref="O194:O257" si="33">IF(N194*M194=0,"",N194*M194)</f>
        <v/>
      </c>
      <c r="P194" s="294">
        <f>AVERAGE(O194:O205)</f>
        <v>4.0790879601664356</v>
      </c>
    </row>
    <row r="195" spans="1:16">
      <c r="A195" s="294"/>
      <c r="B195" s="294" t="s">
        <v>254</v>
      </c>
      <c r="C195" s="294" t="s">
        <v>539</v>
      </c>
      <c r="D195" s="295" t="s">
        <v>1041</v>
      </c>
      <c r="E195" s="296">
        <v>2</v>
      </c>
      <c r="F195" s="294">
        <v>-1.2</v>
      </c>
      <c r="G195" s="308">
        <f t="shared" si="31"/>
        <v>10.78351574</v>
      </c>
      <c r="H195" s="294">
        <v>139.80000000000001</v>
      </c>
      <c r="I195" s="297"/>
      <c r="J195" s="297"/>
      <c r="K195" s="294">
        <f t="shared" si="27"/>
        <v>2.5287999999999999</v>
      </c>
      <c r="L195" s="294">
        <f t="shared" si="28"/>
        <v>0.3913526984164522</v>
      </c>
      <c r="M195" s="309">
        <f t="shared" ref="M195:M205" si="34">$I$194*L195*(G195/K195)+$J$194</f>
        <v>1.8379131138857459</v>
      </c>
      <c r="N195" s="294">
        <v>0</v>
      </c>
      <c r="O195" s="294" t="str">
        <f t="shared" si="33"/>
        <v/>
      </c>
      <c r="P195" s="294"/>
    </row>
    <row r="196" spans="1:16">
      <c r="A196" s="294"/>
      <c r="B196" s="294" t="s">
        <v>254</v>
      </c>
      <c r="C196" s="294" t="s">
        <v>539</v>
      </c>
      <c r="D196" s="295" t="s">
        <v>1046</v>
      </c>
      <c r="E196" s="296">
        <v>3</v>
      </c>
      <c r="F196" s="294">
        <v>2.4</v>
      </c>
      <c r="G196" s="308">
        <f t="shared" si="31"/>
        <v>12.789358100000001</v>
      </c>
      <c r="H196" s="294">
        <v>148</v>
      </c>
      <c r="I196" s="297"/>
      <c r="J196" s="297"/>
      <c r="K196" s="294">
        <f t="shared" si="27"/>
        <v>2.4424000000000001</v>
      </c>
      <c r="L196" s="294">
        <f t="shared" si="28"/>
        <v>0.44226659545689245</v>
      </c>
      <c r="M196" s="309">
        <f t="shared" si="34"/>
        <v>2.2093152499551674</v>
      </c>
      <c r="N196" s="294">
        <v>0</v>
      </c>
      <c r="O196" s="294" t="str">
        <f t="shared" si="33"/>
        <v/>
      </c>
      <c r="P196" s="294"/>
    </row>
    <row r="197" spans="1:16">
      <c r="A197" s="294"/>
      <c r="B197" s="294" t="s">
        <v>254</v>
      </c>
      <c r="C197" s="294" t="s">
        <v>539</v>
      </c>
      <c r="D197" s="295" t="s">
        <v>1041</v>
      </c>
      <c r="E197" s="296">
        <v>4</v>
      </c>
      <c r="F197" s="294">
        <v>6.2</v>
      </c>
      <c r="G197" s="308">
        <f t="shared" si="31"/>
        <v>16.213007229999999</v>
      </c>
      <c r="H197" s="294">
        <v>181.1</v>
      </c>
      <c r="I197" s="297"/>
      <c r="J197" s="297"/>
      <c r="K197" s="294">
        <f t="shared" si="27"/>
        <v>2.3512</v>
      </c>
      <c r="L197" s="294">
        <f t="shared" si="28"/>
        <v>0.49684368447763227</v>
      </c>
      <c r="M197" s="309">
        <f t="shared" si="34"/>
        <v>2.8465530634167258</v>
      </c>
      <c r="N197" s="294">
        <v>0</v>
      </c>
      <c r="O197" s="294" t="str">
        <f t="shared" si="33"/>
        <v/>
      </c>
      <c r="P197" s="294"/>
    </row>
    <row r="198" spans="1:16">
      <c r="A198" s="294"/>
      <c r="B198" s="294" t="s">
        <v>254</v>
      </c>
      <c r="C198" s="294" t="s">
        <v>539</v>
      </c>
      <c r="D198" s="295" t="s">
        <v>1046</v>
      </c>
      <c r="E198" s="296">
        <v>5</v>
      </c>
      <c r="F198" s="294">
        <v>11.4</v>
      </c>
      <c r="G198" s="308">
        <f t="shared" si="31"/>
        <v>19.445042909999998</v>
      </c>
      <c r="H198" s="294">
        <v>212.7</v>
      </c>
      <c r="I198" s="297"/>
      <c r="J198" s="297"/>
      <c r="K198" s="294">
        <f t="shared" si="27"/>
        <v>2.2263999999999999</v>
      </c>
      <c r="L198" s="294">
        <f t="shared" si="28"/>
        <v>0.57037959366923263</v>
      </c>
      <c r="M198" s="309">
        <f t="shared" si="34"/>
        <v>3.7394439259840566</v>
      </c>
      <c r="N198" s="294">
        <v>0</v>
      </c>
      <c r="O198" s="294" t="str">
        <f t="shared" si="33"/>
        <v/>
      </c>
      <c r="P198" s="294"/>
    </row>
    <row r="199" spans="1:16">
      <c r="A199" s="294"/>
      <c r="B199" s="294" t="s">
        <v>254</v>
      </c>
      <c r="C199" s="294" t="s">
        <v>539</v>
      </c>
      <c r="D199" s="295" t="s">
        <v>1041</v>
      </c>
      <c r="E199" s="296">
        <v>6</v>
      </c>
      <c r="F199" s="294">
        <v>14.5</v>
      </c>
      <c r="G199" s="308">
        <f t="shared" si="31"/>
        <v>16.082932100000001</v>
      </c>
      <c r="H199" s="294">
        <v>137</v>
      </c>
      <c r="I199" s="297"/>
      <c r="J199" s="297"/>
      <c r="K199" s="294">
        <f t="shared" si="27"/>
        <v>2.1520000000000001</v>
      </c>
      <c r="L199" s="294">
        <f t="shared" si="28"/>
        <v>0.61231732805409467</v>
      </c>
      <c r="M199" s="309">
        <f t="shared" si="34"/>
        <v>3.5067056218257542</v>
      </c>
      <c r="N199" s="294">
        <v>0</v>
      </c>
      <c r="O199" s="294" t="str">
        <f t="shared" si="33"/>
        <v/>
      </c>
      <c r="P199" s="294"/>
    </row>
    <row r="200" spans="1:16">
      <c r="A200" s="294"/>
      <c r="B200" s="294" t="s">
        <v>254</v>
      </c>
      <c r="C200" s="294" t="s">
        <v>539</v>
      </c>
      <c r="D200" s="295" t="s">
        <v>1041</v>
      </c>
      <c r="E200" s="296">
        <v>7</v>
      </c>
      <c r="F200" s="294">
        <v>18.8</v>
      </c>
      <c r="G200" s="308">
        <f t="shared" si="31"/>
        <v>17.125164910000002</v>
      </c>
      <c r="H200" s="294">
        <v>168.7</v>
      </c>
      <c r="I200" s="297"/>
      <c r="J200" s="297"/>
      <c r="K200" s="294">
        <f t="shared" si="27"/>
        <v>2.0488</v>
      </c>
      <c r="L200" s="294">
        <f t="shared" si="28"/>
        <v>0.66677466843060351</v>
      </c>
      <c r="M200" s="309">
        <f t="shared" si="34"/>
        <v>4.0790879601664356</v>
      </c>
      <c r="N200" s="294">
        <v>1</v>
      </c>
      <c r="O200" s="294">
        <f t="shared" si="33"/>
        <v>4.0790879601664356</v>
      </c>
      <c r="P200" s="294"/>
    </row>
    <row r="201" spans="1:16">
      <c r="A201" s="294"/>
      <c r="B201" s="294" t="s">
        <v>254</v>
      </c>
      <c r="C201" s="294" t="s">
        <v>539</v>
      </c>
      <c r="D201" s="295" t="s">
        <v>1041</v>
      </c>
      <c r="E201" s="296">
        <v>8</v>
      </c>
      <c r="F201" s="294">
        <v>20.7</v>
      </c>
      <c r="G201" s="308">
        <f t="shared" si="31"/>
        <v>13.346297890000001</v>
      </c>
      <c r="H201" s="294">
        <v>102.3</v>
      </c>
      <c r="I201" s="297"/>
      <c r="J201" s="297"/>
      <c r="K201" s="294">
        <f t="shared" si="27"/>
        <v>2.0032000000000001</v>
      </c>
      <c r="L201" s="294">
        <f t="shared" si="28"/>
        <v>0.68918252559756299</v>
      </c>
      <c r="M201" s="309">
        <f t="shared" si="34"/>
        <v>3.515619136809693</v>
      </c>
      <c r="N201" s="294">
        <v>0</v>
      </c>
      <c r="O201" s="294" t="str">
        <f t="shared" si="33"/>
        <v/>
      </c>
      <c r="P201" s="294"/>
    </row>
    <row r="202" spans="1:16">
      <c r="A202" s="294"/>
      <c r="B202" s="294" t="s">
        <v>254</v>
      </c>
      <c r="C202" s="294" t="s">
        <v>539</v>
      </c>
      <c r="D202" s="295" t="s">
        <v>1041</v>
      </c>
      <c r="E202" s="296">
        <v>9</v>
      </c>
      <c r="F202" s="294">
        <v>17.7</v>
      </c>
      <c r="G202" s="308">
        <f t="shared" si="31"/>
        <v>14.1619849</v>
      </c>
      <c r="H202" s="294">
        <v>159</v>
      </c>
      <c r="I202" s="297"/>
      <c r="J202" s="297"/>
      <c r="K202" s="294">
        <f t="shared" si="27"/>
        <v>2.0752000000000002</v>
      </c>
      <c r="L202" s="294">
        <f t="shared" si="28"/>
        <v>0.65331554390309887</v>
      </c>
      <c r="M202" s="309">
        <f t="shared" si="34"/>
        <v>3.4391695036886172</v>
      </c>
      <c r="N202" s="294">
        <v>0</v>
      </c>
      <c r="O202" s="294" t="str">
        <f t="shared" si="33"/>
        <v/>
      </c>
      <c r="P202" s="294"/>
    </row>
    <row r="203" spans="1:16">
      <c r="A203" s="294"/>
      <c r="B203" s="294" t="s">
        <v>254</v>
      </c>
      <c r="C203" s="294" t="s">
        <v>539</v>
      </c>
      <c r="D203" s="295" t="s">
        <v>1046</v>
      </c>
      <c r="E203" s="296">
        <v>10</v>
      </c>
      <c r="F203" s="294">
        <v>9.8000000000000007</v>
      </c>
      <c r="G203" s="308">
        <f t="shared" si="31"/>
        <v>12.0620859</v>
      </c>
      <c r="H203" s="294">
        <v>179</v>
      </c>
      <c r="I203" s="297"/>
      <c r="J203" s="297"/>
      <c r="K203" s="294">
        <f t="shared" si="27"/>
        <v>2.2648000000000001</v>
      </c>
      <c r="L203" s="294">
        <f t="shared" si="28"/>
        <v>0.54807446203847976</v>
      </c>
      <c r="M203" s="309">
        <f t="shared" si="34"/>
        <v>2.5554984069959126</v>
      </c>
      <c r="N203" s="294">
        <v>0</v>
      </c>
      <c r="O203" s="294" t="str">
        <f t="shared" si="33"/>
        <v/>
      </c>
      <c r="P203" s="294"/>
    </row>
    <row r="204" spans="1:16">
      <c r="A204" s="294"/>
      <c r="B204" s="294" t="s">
        <v>254</v>
      </c>
      <c r="C204" s="294" t="s">
        <v>539</v>
      </c>
      <c r="D204" s="295" t="s">
        <v>1041</v>
      </c>
      <c r="E204" s="296">
        <v>11</v>
      </c>
      <c r="F204" s="294">
        <v>5.2</v>
      </c>
      <c r="G204" s="308">
        <f t="shared" si="31"/>
        <v>8.2517299199999989</v>
      </c>
      <c r="H204" s="294">
        <v>124.4</v>
      </c>
      <c r="I204" s="297"/>
      <c r="J204" s="297"/>
      <c r="K204" s="294">
        <f t="shared" si="27"/>
        <v>2.3752</v>
      </c>
      <c r="L204" s="294">
        <f t="shared" si="28"/>
        <v>0.48247533207240734</v>
      </c>
      <c r="M204" s="309">
        <f t="shared" si="34"/>
        <v>1.8421257243717886</v>
      </c>
      <c r="N204" s="294">
        <v>0</v>
      </c>
      <c r="O204" s="294" t="str">
        <f t="shared" si="33"/>
        <v/>
      </c>
      <c r="P204" s="294"/>
    </row>
    <row r="205" spans="1:16">
      <c r="A205" s="294"/>
      <c r="B205" s="294" t="s">
        <v>254</v>
      </c>
      <c r="C205" s="294" t="s">
        <v>539</v>
      </c>
      <c r="D205" s="295" t="s">
        <v>1046</v>
      </c>
      <c r="E205" s="296">
        <v>12</v>
      </c>
      <c r="F205" s="294">
        <v>0.8</v>
      </c>
      <c r="G205" s="308">
        <f t="shared" si="31"/>
        <v>7.1522850499999988</v>
      </c>
      <c r="H205" s="294">
        <v>128.5</v>
      </c>
      <c r="I205" s="297"/>
      <c r="J205" s="297"/>
      <c r="K205" s="294">
        <f t="shared" si="27"/>
        <v>2.4807999999999999</v>
      </c>
      <c r="L205" s="294">
        <f t="shared" si="28"/>
        <v>0.41947006088789601</v>
      </c>
      <c r="M205" s="309">
        <f t="shared" si="34"/>
        <v>1.5741701312745744</v>
      </c>
      <c r="N205" s="294">
        <v>0</v>
      </c>
      <c r="O205" s="294" t="str">
        <f t="shared" si="33"/>
        <v/>
      </c>
      <c r="P205" s="294"/>
    </row>
    <row r="206" spans="1:16">
      <c r="A206" s="294">
        <v>18</v>
      </c>
      <c r="B206" s="294" t="s">
        <v>254</v>
      </c>
      <c r="C206" s="294" t="s">
        <v>540</v>
      </c>
      <c r="D206" s="295" t="s">
        <v>1046</v>
      </c>
      <c r="E206" s="296">
        <v>1</v>
      </c>
      <c r="F206" s="294">
        <v>-1.1000000000000001</v>
      </c>
      <c r="G206" s="308">
        <f t="shared" si="31"/>
        <v>8.5180405599999993</v>
      </c>
      <c r="H206" s="294">
        <v>143.19999999999999</v>
      </c>
      <c r="I206" s="306">
        <v>0.4</v>
      </c>
      <c r="J206" s="307">
        <v>1.26</v>
      </c>
      <c r="K206" s="294">
        <f t="shared" si="27"/>
        <v>2.5264000000000002</v>
      </c>
      <c r="L206" s="294">
        <f t="shared" si="28"/>
        <v>0.39274589279638505</v>
      </c>
      <c r="M206" s="309">
        <f>$I$206*L206*(G206/K206)+$J$206</f>
        <v>1.7896747062401868</v>
      </c>
      <c r="N206" s="294">
        <v>0</v>
      </c>
      <c r="O206" s="294" t="str">
        <f t="shared" si="33"/>
        <v/>
      </c>
      <c r="P206" s="294">
        <f>AVERAGE(O206:O217)</f>
        <v>3.2386858590212726</v>
      </c>
    </row>
    <row r="207" spans="1:16">
      <c r="A207" s="294"/>
      <c r="B207" s="294" t="s">
        <v>254</v>
      </c>
      <c r="C207" s="294" t="s">
        <v>540</v>
      </c>
      <c r="D207" s="295" t="s">
        <v>1041</v>
      </c>
      <c r="E207" s="296">
        <v>2</v>
      </c>
      <c r="F207" s="294">
        <v>-0.8</v>
      </c>
      <c r="G207" s="308">
        <f t="shared" si="31"/>
        <v>10.942833290000001</v>
      </c>
      <c r="H207" s="294">
        <v>143.30000000000001</v>
      </c>
      <c r="I207" s="297"/>
      <c r="J207" s="297"/>
      <c r="K207" s="294">
        <f t="shared" si="27"/>
        <v>2.5192000000000001</v>
      </c>
      <c r="L207" s="294">
        <f t="shared" si="28"/>
        <v>0.39693423538620415</v>
      </c>
      <c r="M207" s="309">
        <f t="shared" ref="M207:M217" si="35">$I$206*L207*(G207/K207)+$J$206</f>
        <v>1.9496769077365594</v>
      </c>
      <c r="N207" s="294">
        <v>0</v>
      </c>
      <c r="O207" s="294" t="str">
        <f t="shared" si="33"/>
        <v/>
      </c>
      <c r="P207" s="294"/>
    </row>
    <row r="208" spans="1:16">
      <c r="A208" s="294"/>
      <c r="B208" s="294" t="s">
        <v>254</v>
      </c>
      <c r="C208" s="294" t="s">
        <v>540</v>
      </c>
      <c r="D208" s="295" t="s">
        <v>1041</v>
      </c>
      <c r="E208" s="296">
        <v>3</v>
      </c>
      <c r="F208" s="294">
        <v>2.6</v>
      </c>
      <c r="G208" s="308">
        <f t="shared" si="31"/>
        <v>12.87584477</v>
      </c>
      <c r="H208" s="294">
        <v>149.9</v>
      </c>
      <c r="I208" s="297"/>
      <c r="J208" s="297"/>
      <c r="K208" s="294">
        <f t="shared" si="27"/>
        <v>2.4376000000000002</v>
      </c>
      <c r="L208" s="294">
        <f t="shared" si="28"/>
        <v>0.44512938582790712</v>
      </c>
      <c r="M208" s="309">
        <f t="shared" si="35"/>
        <v>2.2005016203619245</v>
      </c>
      <c r="N208" s="294">
        <v>0</v>
      </c>
      <c r="O208" s="294" t="str">
        <f t="shared" si="33"/>
        <v/>
      </c>
      <c r="P208" s="294"/>
    </row>
    <row r="209" spans="1:16">
      <c r="A209" s="294"/>
      <c r="B209" s="294" t="s">
        <v>254</v>
      </c>
      <c r="C209" s="294" t="s">
        <v>540</v>
      </c>
      <c r="D209" s="295" t="s">
        <v>1041</v>
      </c>
      <c r="E209" s="296">
        <v>4</v>
      </c>
      <c r="F209" s="294">
        <v>6.1</v>
      </c>
      <c r="G209" s="308">
        <f t="shared" si="31"/>
        <v>16.09920898</v>
      </c>
      <c r="H209" s="294">
        <v>178.6</v>
      </c>
      <c r="I209" s="297"/>
      <c r="J209" s="297"/>
      <c r="K209" s="294">
        <f t="shared" si="27"/>
        <v>2.3536000000000001</v>
      </c>
      <c r="L209" s="294">
        <f t="shared" si="28"/>
        <v>0.49540811078051672</v>
      </c>
      <c r="M209" s="309">
        <f t="shared" si="35"/>
        <v>2.6154858439569217</v>
      </c>
      <c r="N209" s="294">
        <v>0</v>
      </c>
      <c r="O209" s="294" t="str">
        <f t="shared" si="33"/>
        <v/>
      </c>
      <c r="P209" s="294"/>
    </row>
    <row r="210" spans="1:16">
      <c r="A210" s="294"/>
      <c r="B210" s="294" t="s">
        <v>254</v>
      </c>
      <c r="C210" s="294" t="s">
        <v>540</v>
      </c>
      <c r="D210" s="295" t="s">
        <v>1041</v>
      </c>
      <c r="E210" s="296">
        <v>5</v>
      </c>
      <c r="F210" s="294">
        <v>11</v>
      </c>
      <c r="G210" s="308">
        <f t="shared" si="31"/>
        <v>20.56026576</v>
      </c>
      <c r="H210" s="294">
        <v>237.2</v>
      </c>
      <c r="I210" s="297"/>
      <c r="J210" s="297"/>
      <c r="K210" s="294">
        <f t="shared" si="27"/>
        <v>2.2359999999999998</v>
      </c>
      <c r="L210" s="294">
        <f t="shared" si="28"/>
        <v>0.56483929877471772</v>
      </c>
      <c r="M210" s="309">
        <f t="shared" si="35"/>
        <v>3.3375037736136388</v>
      </c>
      <c r="N210" s="294">
        <v>0</v>
      </c>
      <c r="O210" s="294" t="str">
        <f t="shared" si="33"/>
        <v/>
      </c>
      <c r="P210" s="294"/>
    </row>
    <row r="211" spans="1:16">
      <c r="A211" s="294"/>
      <c r="B211" s="294" t="s">
        <v>254</v>
      </c>
      <c r="C211" s="294" t="s">
        <v>540</v>
      </c>
      <c r="D211" s="295" t="s">
        <v>1046</v>
      </c>
      <c r="E211" s="296">
        <v>6</v>
      </c>
      <c r="F211" s="294">
        <v>13.8</v>
      </c>
      <c r="G211" s="308">
        <f t="shared" si="31"/>
        <v>17.36657636</v>
      </c>
      <c r="H211" s="294">
        <v>165.2</v>
      </c>
      <c r="I211" s="297"/>
      <c r="J211" s="297"/>
      <c r="K211" s="294">
        <f t="shared" si="27"/>
        <v>2.1688000000000001</v>
      </c>
      <c r="L211" s="294">
        <f t="shared" si="28"/>
        <v>0.60301849560891085</v>
      </c>
      <c r="M211" s="309">
        <f t="shared" si="35"/>
        <v>3.1914582719447573</v>
      </c>
      <c r="N211" s="294">
        <v>0</v>
      </c>
      <c r="O211" s="294" t="str">
        <f t="shared" si="33"/>
        <v/>
      </c>
      <c r="P211" s="294"/>
    </row>
    <row r="212" spans="1:16">
      <c r="A212" s="294"/>
      <c r="B212" s="294" t="s">
        <v>254</v>
      </c>
      <c r="C212" s="294" t="s">
        <v>540</v>
      </c>
      <c r="D212" s="295" t="s">
        <v>1041</v>
      </c>
      <c r="E212" s="296">
        <v>7</v>
      </c>
      <c r="F212" s="294">
        <v>18.100000000000001</v>
      </c>
      <c r="G212" s="308">
        <f t="shared" si="31"/>
        <v>15.52288555</v>
      </c>
      <c r="H212" s="294">
        <v>133.5</v>
      </c>
      <c r="I212" s="297"/>
      <c r="J212" s="297"/>
      <c r="K212" s="294">
        <f t="shared" si="27"/>
        <v>2.0655999999999999</v>
      </c>
      <c r="L212" s="294">
        <f t="shared" si="28"/>
        <v>0.65824963683932147</v>
      </c>
      <c r="M212" s="309">
        <f t="shared" si="35"/>
        <v>3.2386858590212726</v>
      </c>
      <c r="N212" s="294">
        <v>1</v>
      </c>
      <c r="O212" s="294">
        <f t="shared" si="33"/>
        <v>3.2386858590212726</v>
      </c>
      <c r="P212" s="294"/>
    </row>
    <row r="213" spans="1:16">
      <c r="A213" s="294"/>
      <c r="B213" s="294" t="s">
        <v>254</v>
      </c>
      <c r="C213" s="294" t="s">
        <v>540</v>
      </c>
      <c r="D213" s="295" t="s">
        <v>1046</v>
      </c>
      <c r="E213" s="296">
        <v>8</v>
      </c>
      <c r="F213" s="294">
        <v>20.100000000000001</v>
      </c>
      <c r="G213" s="308">
        <f t="shared" si="31"/>
        <v>15.462945339999999</v>
      </c>
      <c r="H213" s="294">
        <v>148.80000000000001</v>
      </c>
      <c r="I213" s="297"/>
      <c r="J213" s="297"/>
      <c r="K213" s="294">
        <f t="shared" si="27"/>
        <v>2.0175999999999998</v>
      </c>
      <c r="L213" s="294">
        <f t="shared" si="28"/>
        <v>0.68222457536345948</v>
      </c>
      <c r="M213" s="309">
        <f t="shared" si="35"/>
        <v>3.3514356301447039</v>
      </c>
      <c r="N213" s="294">
        <v>0</v>
      </c>
      <c r="O213" s="294" t="str">
        <f t="shared" si="33"/>
        <v/>
      </c>
      <c r="P213" s="294"/>
    </row>
    <row r="214" spans="1:16">
      <c r="A214" s="294"/>
      <c r="B214" s="294" t="s">
        <v>254</v>
      </c>
      <c r="C214" s="294" t="s">
        <v>540</v>
      </c>
      <c r="D214" s="295" t="s">
        <v>1041</v>
      </c>
      <c r="E214" s="296">
        <v>9</v>
      </c>
      <c r="F214" s="294">
        <v>17.600000000000001</v>
      </c>
      <c r="G214" s="308">
        <f t="shared" ref="G214:G245" si="36">$T$11+$T$12*H214+INDEX($T$13:$T$24,MATCH(E214,$S$13:$S$24,0),1)</f>
        <v>15.482044599999998</v>
      </c>
      <c r="H214" s="294">
        <v>188</v>
      </c>
      <c r="I214" s="297"/>
      <c r="J214" s="297"/>
      <c r="K214" s="294">
        <f t="shared" si="27"/>
        <v>2.0775999999999999</v>
      </c>
      <c r="L214" s="294">
        <f t="shared" si="28"/>
        <v>0.65207502833419961</v>
      </c>
      <c r="M214" s="309">
        <f t="shared" si="35"/>
        <v>3.2036762940347208</v>
      </c>
      <c r="N214" s="294">
        <v>0</v>
      </c>
      <c r="O214" s="294" t="str">
        <f t="shared" si="33"/>
        <v/>
      </c>
      <c r="P214" s="294"/>
    </row>
    <row r="215" spans="1:16">
      <c r="A215" s="294"/>
      <c r="B215" s="294" t="s">
        <v>254</v>
      </c>
      <c r="C215" s="294" t="s">
        <v>540</v>
      </c>
      <c r="D215" s="295" t="s">
        <v>1041</v>
      </c>
      <c r="E215" s="296">
        <v>10</v>
      </c>
      <c r="F215" s="294">
        <v>11</v>
      </c>
      <c r="G215" s="308">
        <f t="shared" si="36"/>
        <v>12.285130469999999</v>
      </c>
      <c r="H215" s="294">
        <v>183.9</v>
      </c>
      <c r="I215" s="297"/>
      <c r="J215" s="297"/>
      <c r="K215" s="294">
        <f t="shared" ref="K215:K277" si="37">2.5-0.024*F215</f>
        <v>2.2359999999999998</v>
      </c>
      <c r="L215" s="294">
        <f t="shared" ref="L215:L277" si="38">1/(1.05+1.4*EXP(-0.0604*F215))</f>
        <v>0.56483929877471772</v>
      </c>
      <c r="M215" s="309">
        <f t="shared" si="35"/>
        <v>2.5013460608283937</v>
      </c>
      <c r="N215" s="294">
        <v>0</v>
      </c>
      <c r="O215" s="294" t="str">
        <f t="shared" si="33"/>
        <v/>
      </c>
      <c r="P215" s="294"/>
    </row>
    <row r="216" spans="1:16">
      <c r="A216" s="294"/>
      <c r="B216" s="294" t="s">
        <v>254</v>
      </c>
      <c r="C216" s="294" t="s">
        <v>540</v>
      </c>
      <c r="D216" s="295" t="s">
        <v>1041</v>
      </c>
      <c r="E216" s="296">
        <v>11</v>
      </c>
      <c r="F216" s="294">
        <v>7.1</v>
      </c>
      <c r="G216" s="308">
        <f t="shared" si="36"/>
        <v>7.9467506099999987</v>
      </c>
      <c r="H216" s="294">
        <v>117.7</v>
      </c>
      <c r="I216" s="297"/>
      <c r="J216" s="297"/>
      <c r="K216" s="294">
        <f t="shared" si="37"/>
        <v>2.3296000000000001</v>
      </c>
      <c r="L216" s="294">
        <f t="shared" si="38"/>
        <v>0.50974381096902943</v>
      </c>
      <c r="M216" s="309">
        <f t="shared" si="35"/>
        <v>1.955536906037407</v>
      </c>
      <c r="N216" s="294">
        <v>0</v>
      </c>
      <c r="O216" s="294" t="str">
        <f t="shared" si="33"/>
        <v/>
      </c>
      <c r="P216" s="294"/>
    </row>
    <row r="217" spans="1:16">
      <c r="A217" s="294"/>
      <c r="B217" s="294" t="s">
        <v>254</v>
      </c>
      <c r="C217" s="294" t="s">
        <v>540</v>
      </c>
      <c r="D217" s="295" t="s">
        <v>1046</v>
      </c>
      <c r="E217" s="296">
        <v>12</v>
      </c>
      <c r="F217" s="294">
        <v>2.1</v>
      </c>
      <c r="G217" s="308">
        <f t="shared" si="36"/>
        <v>6.082581499999999</v>
      </c>
      <c r="H217" s="294">
        <v>105</v>
      </c>
      <c r="I217" s="297"/>
      <c r="J217" s="297"/>
      <c r="K217" s="294">
        <f t="shared" si="37"/>
        <v>2.4496000000000002</v>
      </c>
      <c r="L217" s="294">
        <f t="shared" si="38"/>
        <v>0.43797709139280494</v>
      </c>
      <c r="M217" s="309">
        <f t="shared" si="35"/>
        <v>1.6950149172974665</v>
      </c>
      <c r="N217" s="294">
        <v>0</v>
      </c>
      <c r="O217" s="294" t="str">
        <f t="shared" si="33"/>
        <v/>
      </c>
      <c r="P217" s="294"/>
    </row>
    <row r="218" spans="1:16">
      <c r="A218" s="294">
        <v>19</v>
      </c>
      <c r="B218" s="294" t="s">
        <v>254</v>
      </c>
      <c r="C218" s="294" t="s">
        <v>271</v>
      </c>
      <c r="D218" s="295" t="s">
        <v>1041</v>
      </c>
      <c r="E218" s="296">
        <v>1</v>
      </c>
      <c r="F218" s="294">
        <v>0.7</v>
      </c>
      <c r="G218" s="308">
        <f t="shared" si="36"/>
        <v>3.8750719600000005</v>
      </c>
      <c r="H218" s="294">
        <v>41.2</v>
      </c>
      <c r="I218" s="306">
        <v>0.41199999999999998</v>
      </c>
      <c r="J218" s="307">
        <v>1.74</v>
      </c>
      <c r="K218" s="294">
        <f t="shared" si="37"/>
        <v>2.4832000000000001</v>
      </c>
      <c r="L218" s="294">
        <f t="shared" si="38"/>
        <v>0.41805288326393808</v>
      </c>
      <c r="M218" s="309">
        <f>$I$218*L218*(G218/K218)+$J$218</f>
        <v>2.0087797287218487</v>
      </c>
      <c r="N218" s="294">
        <v>0</v>
      </c>
      <c r="O218" s="294" t="str">
        <f t="shared" si="33"/>
        <v/>
      </c>
      <c r="P218" s="294">
        <f>AVERAGE(O218:O229)</f>
        <v>3.9956817632819366</v>
      </c>
    </row>
    <row r="219" spans="1:16">
      <c r="A219" s="294"/>
      <c r="B219" s="294" t="s">
        <v>254</v>
      </c>
      <c r="C219" s="294" t="s">
        <v>271</v>
      </c>
      <c r="D219" s="295" t="s">
        <v>1046</v>
      </c>
      <c r="E219" s="296">
        <v>2</v>
      </c>
      <c r="F219" s="294">
        <v>1.3</v>
      </c>
      <c r="G219" s="308">
        <f t="shared" si="36"/>
        <v>8.22988301</v>
      </c>
      <c r="H219" s="294">
        <v>83.7</v>
      </c>
      <c r="I219" s="297"/>
      <c r="J219" s="297"/>
      <c r="K219" s="294">
        <f t="shared" si="37"/>
        <v>2.4687999999999999</v>
      </c>
      <c r="L219" s="294">
        <f t="shared" si="38"/>
        <v>0.42657075115619864</v>
      </c>
      <c r="M219" s="309">
        <f t="shared" ref="M219:M228" si="39">$I$218*L219*(G219/K219)+$J$218</f>
        <v>2.3258629615729807</v>
      </c>
      <c r="N219" s="294">
        <v>0</v>
      </c>
      <c r="O219" s="294" t="str">
        <f t="shared" si="33"/>
        <v/>
      </c>
      <c r="P219" s="294"/>
    </row>
    <row r="220" spans="1:16">
      <c r="A220" s="294"/>
      <c r="B220" s="294" t="s">
        <v>254</v>
      </c>
      <c r="C220" s="294" t="s">
        <v>271</v>
      </c>
      <c r="D220" s="295" t="s">
        <v>1046</v>
      </c>
      <c r="E220" s="296">
        <v>3</v>
      </c>
      <c r="F220" s="294">
        <v>4.7</v>
      </c>
      <c r="G220" s="308">
        <f t="shared" si="36"/>
        <v>11.847108590000001</v>
      </c>
      <c r="H220" s="294">
        <v>127.3</v>
      </c>
      <c r="I220" s="297"/>
      <c r="J220" s="297"/>
      <c r="K220" s="294">
        <f t="shared" si="37"/>
        <v>2.3872</v>
      </c>
      <c r="L220" s="294">
        <f t="shared" si="38"/>
        <v>0.47528522193532502</v>
      </c>
      <c r="M220" s="309">
        <f t="shared" si="39"/>
        <v>2.7117959625594414</v>
      </c>
      <c r="N220" s="294">
        <v>0</v>
      </c>
      <c r="O220" s="294" t="str">
        <f t="shared" si="33"/>
        <v/>
      </c>
      <c r="P220" s="294"/>
    </row>
    <row r="221" spans="1:16">
      <c r="A221" s="294"/>
      <c r="B221" s="294" t="s">
        <v>254</v>
      </c>
      <c r="C221" s="294" t="s">
        <v>271</v>
      </c>
      <c r="D221" s="295" t="s">
        <v>1041</v>
      </c>
      <c r="E221" s="296">
        <v>4</v>
      </c>
      <c r="F221" s="294">
        <v>8.4</v>
      </c>
      <c r="G221" s="308">
        <f t="shared" si="36"/>
        <v>16.822965849999999</v>
      </c>
      <c r="H221" s="294">
        <v>194.5</v>
      </c>
      <c r="I221" s="297"/>
      <c r="J221" s="297"/>
      <c r="K221" s="294">
        <f t="shared" si="37"/>
        <v>2.2984</v>
      </c>
      <c r="L221" s="294">
        <f t="shared" si="38"/>
        <v>0.52828541148097485</v>
      </c>
      <c r="M221" s="309">
        <f t="shared" si="39"/>
        <v>3.3330990705690158</v>
      </c>
      <c r="N221" s="294">
        <v>0</v>
      </c>
      <c r="O221" s="294" t="str">
        <f t="shared" si="33"/>
        <v/>
      </c>
      <c r="P221" s="294"/>
    </row>
    <row r="222" spans="1:16">
      <c r="A222" s="294"/>
      <c r="B222" s="294" t="s">
        <v>254</v>
      </c>
      <c r="C222" s="294" t="s">
        <v>271</v>
      </c>
      <c r="D222" s="295" t="s">
        <v>1046</v>
      </c>
      <c r="E222" s="296">
        <v>5</v>
      </c>
      <c r="F222" s="294">
        <v>12.8</v>
      </c>
      <c r="G222" s="308">
        <f t="shared" si="36"/>
        <v>19.654431690000003</v>
      </c>
      <c r="H222" s="294">
        <v>217.3</v>
      </c>
      <c r="I222" s="297"/>
      <c r="J222" s="297"/>
      <c r="K222" s="294">
        <f t="shared" si="37"/>
        <v>2.1928000000000001</v>
      </c>
      <c r="L222" s="294">
        <f t="shared" si="38"/>
        <v>0.58955346412535858</v>
      </c>
      <c r="M222" s="309">
        <f t="shared" si="39"/>
        <v>3.9171175550715738</v>
      </c>
      <c r="N222" s="294">
        <v>0</v>
      </c>
      <c r="O222" s="294" t="str">
        <f t="shared" si="33"/>
        <v/>
      </c>
      <c r="P222" s="294"/>
    </row>
    <row r="223" spans="1:16">
      <c r="A223" s="294"/>
      <c r="B223" s="294" t="s">
        <v>254</v>
      </c>
      <c r="C223" s="294" t="s">
        <v>271</v>
      </c>
      <c r="D223" s="295" t="s">
        <v>1041</v>
      </c>
      <c r="E223" s="296">
        <v>6</v>
      </c>
      <c r="F223" s="294">
        <v>16.5</v>
      </c>
      <c r="G223" s="308">
        <f t="shared" si="36"/>
        <v>17.270985830000001</v>
      </c>
      <c r="H223" s="294">
        <v>163.1</v>
      </c>
      <c r="I223" s="297"/>
      <c r="J223" s="297"/>
      <c r="K223" s="294">
        <f t="shared" si="37"/>
        <v>2.1040000000000001</v>
      </c>
      <c r="L223" s="294">
        <f t="shared" si="38"/>
        <v>0.63824954026778424</v>
      </c>
      <c r="M223" s="309">
        <f t="shared" si="39"/>
        <v>3.8985351195718598</v>
      </c>
      <c r="N223" s="294">
        <v>0</v>
      </c>
      <c r="O223" s="294" t="str">
        <f t="shared" si="33"/>
        <v/>
      </c>
      <c r="P223" s="294"/>
    </row>
    <row r="224" spans="1:16">
      <c r="A224" s="294"/>
      <c r="B224" s="294" t="s">
        <v>254</v>
      </c>
      <c r="C224" s="294" t="s">
        <v>271</v>
      </c>
      <c r="D224" s="295" t="s">
        <v>1046</v>
      </c>
      <c r="E224" s="296">
        <v>7</v>
      </c>
      <c r="F224" s="294">
        <v>20.5</v>
      </c>
      <c r="G224" s="308">
        <f t="shared" si="36"/>
        <v>16.005390130000002</v>
      </c>
      <c r="H224" s="294">
        <v>144.1</v>
      </c>
      <c r="I224" s="297"/>
      <c r="J224" s="297"/>
      <c r="K224" s="294">
        <f t="shared" si="37"/>
        <v>2.008</v>
      </c>
      <c r="L224" s="294">
        <f t="shared" si="38"/>
        <v>0.6868755481020804</v>
      </c>
      <c r="M224" s="309">
        <f t="shared" si="39"/>
        <v>3.9956817632819366</v>
      </c>
      <c r="N224" s="294">
        <v>1</v>
      </c>
      <c r="O224" s="294">
        <f t="shared" si="33"/>
        <v>3.9956817632819366</v>
      </c>
      <c r="P224" s="294"/>
    </row>
    <row r="225" spans="1:16">
      <c r="A225" s="294"/>
      <c r="B225" s="294" t="s">
        <v>254</v>
      </c>
      <c r="C225" s="294" t="s">
        <v>271</v>
      </c>
      <c r="D225" s="295" t="s">
        <v>1046</v>
      </c>
      <c r="E225" s="296">
        <v>8</v>
      </c>
      <c r="F225" s="294">
        <v>22.7</v>
      </c>
      <c r="G225" s="308">
        <f t="shared" si="36"/>
        <v>16.496233450000002</v>
      </c>
      <c r="H225" s="294">
        <v>171.5</v>
      </c>
      <c r="I225" s="297"/>
      <c r="J225" s="297"/>
      <c r="K225" s="294">
        <f t="shared" si="37"/>
        <v>1.9552</v>
      </c>
      <c r="L225" s="294">
        <f t="shared" si="38"/>
        <v>0.71155854365220816</v>
      </c>
      <c r="M225" s="309">
        <f t="shared" si="39"/>
        <v>4.213440451086683</v>
      </c>
      <c r="N225" s="294">
        <v>0</v>
      </c>
      <c r="O225" s="294" t="str">
        <f t="shared" si="33"/>
        <v/>
      </c>
      <c r="P225" s="294"/>
    </row>
    <row r="226" spans="1:16">
      <c r="A226" s="294"/>
      <c r="B226" s="294" t="s">
        <v>254</v>
      </c>
      <c r="C226" s="294" t="s">
        <v>271</v>
      </c>
      <c r="D226" s="295" t="s">
        <v>1041</v>
      </c>
      <c r="E226" s="296">
        <v>9</v>
      </c>
      <c r="F226" s="294">
        <v>19.100000000000001</v>
      </c>
      <c r="G226" s="308">
        <f t="shared" si="36"/>
        <v>13.53837049</v>
      </c>
      <c r="H226" s="294">
        <v>145.30000000000001</v>
      </c>
      <c r="I226" s="297"/>
      <c r="J226" s="297"/>
      <c r="K226" s="294">
        <f t="shared" si="37"/>
        <v>2.0415999999999999</v>
      </c>
      <c r="L226" s="294">
        <f t="shared" si="38"/>
        <v>0.67038469647805343</v>
      </c>
      <c r="M226" s="309">
        <f t="shared" si="39"/>
        <v>3.5715426887732109</v>
      </c>
      <c r="N226" s="294">
        <v>0</v>
      </c>
      <c r="O226" s="294" t="str">
        <f t="shared" si="33"/>
        <v/>
      </c>
      <c r="P226" s="294"/>
    </row>
    <row r="227" spans="1:16">
      <c r="A227" s="294"/>
      <c r="B227" s="294" t="s">
        <v>254</v>
      </c>
      <c r="C227" s="294" t="s">
        <v>271</v>
      </c>
      <c r="D227" s="295" t="s">
        <v>1046</v>
      </c>
      <c r="E227" s="296">
        <v>10</v>
      </c>
      <c r="F227" s="294">
        <v>12.4</v>
      </c>
      <c r="G227" s="308">
        <f t="shared" si="36"/>
        <v>9.5039012399999994</v>
      </c>
      <c r="H227" s="294">
        <v>122.8</v>
      </c>
      <c r="I227" s="297"/>
      <c r="J227" s="297"/>
      <c r="K227" s="294">
        <f t="shared" si="37"/>
        <v>2.2023999999999999</v>
      </c>
      <c r="L227" s="294">
        <f t="shared" si="38"/>
        <v>0.58411170691101355</v>
      </c>
      <c r="M227" s="309">
        <f t="shared" si="39"/>
        <v>2.7784816881362877</v>
      </c>
      <c r="N227" s="294">
        <v>0</v>
      </c>
      <c r="O227" s="294" t="str">
        <f t="shared" si="33"/>
        <v/>
      </c>
      <c r="P227" s="294"/>
    </row>
    <row r="228" spans="1:16">
      <c r="A228" s="294"/>
      <c r="B228" s="294" t="s">
        <v>254</v>
      </c>
      <c r="C228" s="294" t="s">
        <v>271</v>
      </c>
      <c r="D228" s="295" t="s">
        <v>1046</v>
      </c>
      <c r="E228" s="296">
        <v>11</v>
      </c>
      <c r="F228" s="294">
        <v>8</v>
      </c>
      <c r="G228" s="308">
        <f t="shared" si="36"/>
        <v>6.6039312599999995</v>
      </c>
      <c r="H228" s="294">
        <v>88.2</v>
      </c>
      <c r="I228" s="297"/>
      <c r="J228" s="297"/>
      <c r="K228" s="294">
        <f t="shared" si="37"/>
        <v>2.3079999999999998</v>
      </c>
      <c r="L228" s="294">
        <f t="shared" si="38"/>
        <v>0.52259463248663729</v>
      </c>
      <c r="M228" s="309">
        <f t="shared" si="39"/>
        <v>2.3560683536707652</v>
      </c>
      <c r="N228" s="294">
        <v>0</v>
      </c>
      <c r="O228" s="294" t="str">
        <f t="shared" si="33"/>
        <v/>
      </c>
      <c r="P228" s="294"/>
    </row>
    <row r="229" spans="1:16">
      <c r="A229" s="294"/>
      <c r="B229" s="294" t="s">
        <v>254</v>
      </c>
      <c r="C229" s="294" t="s">
        <v>271</v>
      </c>
      <c r="D229" s="295" t="s">
        <v>1041</v>
      </c>
      <c r="E229" s="296">
        <v>12</v>
      </c>
      <c r="F229" s="294">
        <v>3.5</v>
      </c>
      <c r="G229" s="308">
        <f t="shared" si="36"/>
        <v>3.0327884000000003</v>
      </c>
      <c r="H229" s="294">
        <v>38</v>
      </c>
      <c r="I229" s="297"/>
      <c r="J229" s="297"/>
      <c r="K229" s="294">
        <f t="shared" si="37"/>
        <v>2.4159999999999999</v>
      </c>
      <c r="L229" s="294">
        <f t="shared" si="38"/>
        <v>0.45803688004667531</v>
      </c>
      <c r="M229" s="309">
        <f>$I$218*L229*(G229/K229)+$J$218</f>
        <v>1.9768878815687221</v>
      </c>
      <c r="N229" s="294">
        <v>0</v>
      </c>
      <c r="O229" s="294" t="str">
        <f t="shared" si="33"/>
        <v/>
      </c>
      <c r="P229" s="294"/>
    </row>
    <row r="230" spans="1:16">
      <c r="A230" s="294">
        <v>20</v>
      </c>
      <c r="B230" s="294" t="s">
        <v>254</v>
      </c>
      <c r="C230" s="294" t="s">
        <v>272</v>
      </c>
      <c r="D230" s="295" t="s">
        <v>1041</v>
      </c>
      <c r="E230" s="296">
        <v>1</v>
      </c>
      <c r="F230" s="294">
        <v>-2.2999999999999998</v>
      </c>
      <c r="G230" s="308">
        <f t="shared" si="36"/>
        <v>7.1570134899999998</v>
      </c>
      <c r="H230" s="294">
        <v>113.3</v>
      </c>
      <c r="I230" s="306">
        <v>0.71799999999999997</v>
      </c>
      <c r="J230" s="307">
        <v>0.5</v>
      </c>
      <c r="K230" s="294">
        <f t="shared" si="37"/>
        <v>2.5552000000000001</v>
      </c>
      <c r="L230" s="294">
        <f t="shared" si="38"/>
        <v>0.37613144429996909</v>
      </c>
      <c r="M230" s="309">
        <f>$I$230*L230*(G230/K230)+$J$230</f>
        <v>1.2564339681368457</v>
      </c>
      <c r="N230" s="294">
        <v>0</v>
      </c>
      <c r="O230" s="294" t="str">
        <f t="shared" si="33"/>
        <v/>
      </c>
      <c r="P230" s="294">
        <f>AVERAGE(O230:O241)</f>
        <v>4.7126736168918884</v>
      </c>
    </row>
    <row r="231" spans="1:16">
      <c r="A231" s="294"/>
      <c r="B231" s="294" t="s">
        <v>254</v>
      </c>
      <c r="C231" s="294" t="s">
        <v>272</v>
      </c>
      <c r="D231" s="295" t="s">
        <v>1046</v>
      </c>
      <c r="E231" s="296">
        <v>2</v>
      </c>
      <c r="F231" s="294">
        <v>-1.3</v>
      </c>
      <c r="G231" s="308">
        <f t="shared" si="36"/>
        <v>8.3709928399999995</v>
      </c>
      <c r="H231" s="294">
        <v>86.8</v>
      </c>
      <c r="I231" s="297"/>
      <c r="J231" s="297"/>
      <c r="K231" s="294">
        <f t="shared" si="37"/>
        <v>2.5312000000000001</v>
      </c>
      <c r="L231" s="294">
        <f t="shared" si="38"/>
        <v>0.38996100241768811</v>
      </c>
      <c r="M231" s="309">
        <f t="shared" ref="M231:M241" si="40">$I$230*L231*(G231/K231)+$J$230</f>
        <v>1.4259683253186242</v>
      </c>
      <c r="N231" s="294">
        <v>0</v>
      </c>
      <c r="O231" s="294" t="str">
        <f t="shared" si="33"/>
        <v/>
      </c>
      <c r="P231" s="294"/>
    </row>
    <row r="232" spans="1:16">
      <c r="A232" s="294"/>
      <c r="B232" s="294" t="s">
        <v>254</v>
      </c>
      <c r="C232" s="294" t="s">
        <v>272</v>
      </c>
      <c r="D232" s="295" t="s">
        <v>1041</v>
      </c>
      <c r="E232" s="296">
        <v>3</v>
      </c>
      <c r="F232" s="294">
        <v>2.5</v>
      </c>
      <c r="G232" s="308">
        <f t="shared" si="36"/>
        <v>12.416099840000001</v>
      </c>
      <c r="H232" s="294">
        <v>139.80000000000001</v>
      </c>
      <c r="I232" s="297"/>
      <c r="J232" s="297"/>
      <c r="K232" s="294">
        <f t="shared" si="37"/>
        <v>2.44</v>
      </c>
      <c r="L232" s="294">
        <f t="shared" si="38"/>
        <v>0.44369769567681572</v>
      </c>
      <c r="M232" s="309">
        <f t="shared" si="40"/>
        <v>2.1210894794263604</v>
      </c>
      <c r="N232" s="294">
        <v>0</v>
      </c>
      <c r="O232" s="294" t="str">
        <f t="shared" si="33"/>
        <v/>
      </c>
      <c r="P232" s="294"/>
    </row>
    <row r="233" spans="1:16">
      <c r="A233" s="294"/>
      <c r="B233" s="294" t="s">
        <v>254</v>
      </c>
      <c r="C233" s="294" t="s">
        <v>272</v>
      </c>
      <c r="D233" s="295" t="s">
        <v>1046</v>
      </c>
      <c r="E233" s="296">
        <v>4</v>
      </c>
      <c r="F233" s="294">
        <v>7</v>
      </c>
      <c r="G233" s="308">
        <f t="shared" si="36"/>
        <v>17.273606919999999</v>
      </c>
      <c r="H233" s="294">
        <v>204.4</v>
      </c>
      <c r="I233" s="297"/>
      <c r="J233" s="297"/>
      <c r="K233" s="294">
        <f t="shared" si="37"/>
        <v>2.3319999999999999</v>
      </c>
      <c r="L233" s="294">
        <f t="shared" si="38"/>
        <v>0.50831255550801102</v>
      </c>
      <c r="M233" s="309">
        <f t="shared" si="40"/>
        <v>3.2033966279658976</v>
      </c>
      <c r="N233" s="294">
        <v>0</v>
      </c>
      <c r="O233" s="294" t="str">
        <f t="shared" si="33"/>
        <v/>
      </c>
      <c r="P233" s="294"/>
    </row>
    <row r="234" spans="1:16">
      <c r="A234" s="294"/>
      <c r="B234" s="294" t="s">
        <v>254</v>
      </c>
      <c r="C234" s="294" t="s">
        <v>272</v>
      </c>
      <c r="D234" s="295" t="s">
        <v>1041</v>
      </c>
      <c r="E234" s="296">
        <v>5</v>
      </c>
      <c r="F234" s="294">
        <v>11.8</v>
      </c>
      <c r="G234" s="308">
        <f t="shared" si="36"/>
        <v>20.733239099999999</v>
      </c>
      <c r="H234" s="294">
        <v>241</v>
      </c>
      <c r="I234" s="297"/>
      <c r="J234" s="297"/>
      <c r="K234" s="294">
        <f t="shared" si="37"/>
        <v>2.2168000000000001</v>
      </c>
      <c r="L234" s="294">
        <f t="shared" si="38"/>
        <v>0.57589347711044203</v>
      </c>
      <c r="M234" s="309">
        <f t="shared" si="40"/>
        <v>4.367294514060772</v>
      </c>
      <c r="N234" s="294">
        <v>0</v>
      </c>
      <c r="O234" s="294" t="str">
        <f t="shared" si="33"/>
        <v/>
      </c>
      <c r="P234" s="294"/>
    </row>
    <row r="235" spans="1:16">
      <c r="A235" s="294"/>
      <c r="B235" s="294" t="s">
        <v>254</v>
      </c>
      <c r="C235" s="294" t="s">
        <v>272</v>
      </c>
      <c r="D235" s="295" t="s">
        <v>1041</v>
      </c>
      <c r="E235" s="296">
        <v>6</v>
      </c>
      <c r="F235" s="294">
        <v>15.1</v>
      </c>
      <c r="G235" s="308">
        <f t="shared" si="36"/>
        <v>17.234570390000002</v>
      </c>
      <c r="H235" s="294">
        <v>162.30000000000001</v>
      </c>
      <c r="I235" s="297"/>
      <c r="J235" s="297"/>
      <c r="K235" s="294">
        <f t="shared" si="37"/>
        <v>2.1375999999999999</v>
      </c>
      <c r="L235" s="294">
        <f t="shared" si="38"/>
        <v>0.62019908683052438</v>
      </c>
      <c r="M235" s="309">
        <f t="shared" si="40"/>
        <v>4.0902904842703851</v>
      </c>
      <c r="N235" s="294">
        <v>0</v>
      </c>
      <c r="O235" s="294" t="str">
        <f t="shared" si="33"/>
        <v/>
      </c>
      <c r="P235" s="294"/>
    </row>
    <row r="236" spans="1:16">
      <c r="A236" s="294"/>
      <c r="B236" s="294" t="s">
        <v>254</v>
      </c>
      <c r="C236" s="294" t="s">
        <v>272</v>
      </c>
      <c r="D236" s="295" t="s">
        <v>1046</v>
      </c>
      <c r="E236" s="296">
        <v>7</v>
      </c>
      <c r="F236" s="294">
        <v>19.899999999999999</v>
      </c>
      <c r="G236" s="308">
        <f t="shared" si="36"/>
        <v>17.45290387</v>
      </c>
      <c r="H236" s="294">
        <v>175.9</v>
      </c>
      <c r="I236" s="297"/>
      <c r="J236" s="297"/>
      <c r="K236" s="294">
        <f t="shared" si="37"/>
        <v>2.0224000000000002</v>
      </c>
      <c r="L236" s="294">
        <f t="shared" si="38"/>
        <v>0.67988072455324944</v>
      </c>
      <c r="M236" s="309">
        <f t="shared" si="40"/>
        <v>4.7126736168918884</v>
      </c>
      <c r="N236" s="294">
        <v>1</v>
      </c>
      <c r="O236" s="294">
        <f t="shared" si="33"/>
        <v>4.7126736168918884</v>
      </c>
      <c r="P236" s="294"/>
    </row>
    <row r="237" spans="1:16">
      <c r="A237" s="294"/>
      <c r="B237" s="294" t="s">
        <v>254</v>
      </c>
      <c r="C237" s="294" t="s">
        <v>272</v>
      </c>
      <c r="D237" s="295" t="s">
        <v>1041</v>
      </c>
      <c r="E237" s="296">
        <v>8</v>
      </c>
      <c r="F237" s="294">
        <v>20.9</v>
      </c>
      <c r="G237" s="308">
        <f t="shared" si="36"/>
        <v>14.548007409999999</v>
      </c>
      <c r="H237" s="294">
        <v>128.69999999999999</v>
      </c>
      <c r="I237" s="297"/>
      <c r="J237" s="297"/>
      <c r="K237" s="294">
        <f t="shared" si="37"/>
        <v>1.9984000000000002</v>
      </c>
      <c r="L237" s="294">
        <f t="shared" si="38"/>
        <v>0.69147707180847306</v>
      </c>
      <c r="M237" s="309">
        <f t="shared" si="40"/>
        <v>4.1142927038238604</v>
      </c>
      <c r="N237" s="294">
        <v>0</v>
      </c>
      <c r="O237" s="294" t="str">
        <f t="shared" si="33"/>
        <v/>
      </c>
      <c r="P237" s="294"/>
    </row>
    <row r="238" spans="1:16">
      <c r="A238" s="294"/>
      <c r="B238" s="294" t="s">
        <v>254</v>
      </c>
      <c r="C238" s="294" t="s">
        <v>272</v>
      </c>
      <c r="D238" s="295" t="s">
        <v>1041</v>
      </c>
      <c r="E238" s="296">
        <v>9</v>
      </c>
      <c r="F238" s="294">
        <v>16.899999999999999</v>
      </c>
      <c r="G238" s="308">
        <f t="shared" si="36"/>
        <v>13.42912417</v>
      </c>
      <c r="H238" s="294">
        <v>142.9</v>
      </c>
      <c r="I238" s="297"/>
      <c r="J238" s="297"/>
      <c r="K238" s="294">
        <f t="shared" si="37"/>
        <v>2.0944000000000003</v>
      </c>
      <c r="L238" s="294">
        <f t="shared" si="38"/>
        <v>0.64331460843064392</v>
      </c>
      <c r="M238" s="309">
        <f t="shared" si="40"/>
        <v>3.4616648975930349</v>
      </c>
      <c r="N238" s="294">
        <v>0</v>
      </c>
      <c r="O238" s="294" t="str">
        <f t="shared" si="33"/>
        <v/>
      </c>
      <c r="P238" s="294"/>
    </row>
    <row r="239" spans="1:16">
      <c r="A239" s="294"/>
      <c r="B239" s="294" t="s">
        <v>254</v>
      </c>
      <c r="C239" s="294" t="s">
        <v>272</v>
      </c>
      <c r="D239" s="295" t="s">
        <v>1041</v>
      </c>
      <c r="E239" s="296">
        <v>10</v>
      </c>
      <c r="F239" s="294">
        <v>9.6999999999999993</v>
      </c>
      <c r="G239" s="308">
        <f t="shared" si="36"/>
        <v>10.946863050000001</v>
      </c>
      <c r="H239" s="294">
        <v>154.5</v>
      </c>
      <c r="I239" s="297"/>
      <c r="J239" s="297"/>
      <c r="K239" s="294">
        <f t="shared" si="37"/>
        <v>2.2671999999999999</v>
      </c>
      <c r="L239" s="294">
        <f t="shared" si="38"/>
        <v>0.54666850117733679</v>
      </c>
      <c r="M239" s="309">
        <f>$I$230*L239*(G239/K239)+$J$230</f>
        <v>2.3951707591683205</v>
      </c>
      <c r="N239" s="294">
        <v>0</v>
      </c>
      <c r="O239" s="294" t="str">
        <f t="shared" si="33"/>
        <v/>
      </c>
      <c r="P239" s="294"/>
    </row>
    <row r="240" spans="1:16">
      <c r="A240" s="294"/>
      <c r="B240" s="294" t="s">
        <v>254</v>
      </c>
      <c r="C240" s="294" t="s">
        <v>272</v>
      </c>
      <c r="D240" s="295" t="s">
        <v>1041</v>
      </c>
      <c r="E240" s="296">
        <v>11</v>
      </c>
      <c r="F240" s="294">
        <v>5.4</v>
      </c>
      <c r="G240" s="308">
        <f t="shared" si="36"/>
        <v>7.2503053199999989</v>
      </c>
      <c r="H240" s="294">
        <v>102.4</v>
      </c>
      <c r="I240" s="297"/>
      <c r="J240" s="297"/>
      <c r="K240" s="294">
        <f t="shared" si="37"/>
        <v>2.3704000000000001</v>
      </c>
      <c r="L240" s="294">
        <f t="shared" si="38"/>
        <v>0.48535075735081867</v>
      </c>
      <c r="M240" s="309">
        <f t="shared" si="40"/>
        <v>1.5658959525254084</v>
      </c>
      <c r="N240" s="294">
        <v>0</v>
      </c>
      <c r="O240" s="294" t="str">
        <f t="shared" si="33"/>
        <v/>
      </c>
      <c r="P240" s="294"/>
    </row>
    <row r="241" spans="1:16">
      <c r="A241" s="294"/>
      <c r="B241" s="294" t="s">
        <v>254</v>
      </c>
      <c r="C241" s="294" t="s">
        <v>272</v>
      </c>
      <c r="D241" s="295" t="s">
        <v>1041</v>
      </c>
      <c r="E241" s="296">
        <v>12</v>
      </c>
      <c r="F241" s="294">
        <v>0.5</v>
      </c>
      <c r="G241" s="308">
        <f t="shared" si="36"/>
        <v>5.4362074399999996</v>
      </c>
      <c r="H241" s="294">
        <v>90.8</v>
      </c>
      <c r="I241" s="297"/>
      <c r="J241" s="297"/>
      <c r="K241" s="294">
        <f t="shared" si="37"/>
        <v>2.488</v>
      </c>
      <c r="L241" s="294">
        <f t="shared" si="38"/>
        <v>0.41522168665234183</v>
      </c>
      <c r="M241" s="309">
        <f t="shared" si="40"/>
        <v>1.1514035440354844</v>
      </c>
      <c r="N241" s="294">
        <v>0</v>
      </c>
      <c r="O241" s="294" t="str">
        <f t="shared" si="33"/>
        <v/>
      </c>
      <c r="P241" s="294"/>
    </row>
    <row r="242" spans="1:16">
      <c r="A242" s="294">
        <v>21</v>
      </c>
      <c r="B242" s="294" t="s">
        <v>254</v>
      </c>
      <c r="C242" s="294" t="s">
        <v>274</v>
      </c>
      <c r="D242" s="295" t="s">
        <v>1041</v>
      </c>
      <c r="E242" s="296">
        <v>1</v>
      </c>
      <c r="F242" s="294">
        <v>-3.7</v>
      </c>
      <c r="G242" s="308">
        <f t="shared" si="36"/>
        <v>4.1663954799999994</v>
      </c>
      <c r="H242" s="294">
        <v>47.6</v>
      </c>
      <c r="I242" s="306">
        <v>0.90700000000000003</v>
      </c>
      <c r="J242" s="307">
        <v>-0.11</v>
      </c>
      <c r="K242" s="294">
        <f t="shared" si="37"/>
        <v>2.5888</v>
      </c>
      <c r="L242" s="294">
        <f t="shared" si="38"/>
        <v>0.35706776014877295</v>
      </c>
      <c r="M242" s="309">
        <f>$I$242*L242*(G242/K242)+$J$242</f>
        <v>0.41121861490164446</v>
      </c>
      <c r="N242" s="294">
        <v>0</v>
      </c>
      <c r="O242" s="294" t="str">
        <f t="shared" si="33"/>
        <v/>
      </c>
      <c r="P242" s="294">
        <f>AVERAGE(O242:O253)</f>
        <v>4.9495391557906716</v>
      </c>
    </row>
    <row r="243" spans="1:16">
      <c r="A243" s="294"/>
      <c r="B243" s="294" t="s">
        <v>254</v>
      </c>
      <c r="C243" s="294" t="s">
        <v>274</v>
      </c>
      <c r="D243" s="295" t="s">
        <v>1046</v>
      </c>
      <c r="E243" s="296">
        <v>2</v>
      </c>
      <c r="F243" s="294">
        <v>-2.9</v>
      </c>
      <c r="G243" s="308">
        <f t="shared" si="36"/>
        <v>7.97952686</v>
      </c>
      <c r="H243" s="294">
        <v>78.2</v>
      </c>
      <c r="I243" s="297"/>
      <c r="J243" s="297"/>
      <c r="K243" s="294">
        <f t="shared" si="37"/>
        <v>2.5695999999999999</v>
      </c>
      <c r="L243" s="294">
        <f t="shared" si="38"/>
        <v>0.36791602115825339</v>
      </c>
      <c r="M243" s="309">
        <f t="shared" ref="M243:M253" si="41">$I$242*L243*(G243/K243)+$J$242</f>
        <v>0.92625730314537147</v>
      </c>
      <c r="N243" s="294">
        <v>0</v>
      </c>
      <c r="O243" s="294" t="str">
        <f t="shared" si="33"/>
        <v/>
      </c>
      <c r="P243" s="294"/>
    </row>
    <row r="244" spans="1:16">
      <c r="A244" s="294"/>
      <c r="B244" s="294" t="s">
        <v>254</v>
      </c>
      <c r="C244" s="294" t="s">
        <v>274</v>
      </c>
      <c r="D244" s="295" t="s">
        <v>1041</v>
      </c>
      <c r="E244" s="296">
        <v>3</v>
      </c>
      <c r="F244" s="294">
        <v>1.3</v>
      </c>
      <c r="G244" s="308">
        <f t="shared" si="36"/>
        <v>11.724206479999999</v>
      </c>
      <c r="H244" s="294">
        <v>124.6</v>
      </c>
      <c r="I244" s="297"/>
      <c r="J244" s="297"/>
      <c r="K244" s="294">
        <f t="shared" si="37"/>
        <v>2.4687999999999999</v>
      </c>
      <c r="L244" s="294">
        <f t="shared" si="38"/>
        <v>0.42657075115619864</v>
      </c>
      <c r="M244" s="309">
        <f t="shared" si="41"/>
        <v>1.7273669934177585</v>
      </c>
      <c r="N244" s="294">
        <v>0</v>
      </c>
      <c r="O244" s="294" t="str">
        <f t="shared" si="33"/>
        <v/>
      </c>
      <c r="P244" s="294"/>
    </row>
    <row r="245" spans="1:16">
      <c r="A245" s="294"/>
      <c r="B245" s="294" t="s">
        <v>254</v>
      </c>
      <c r="C245" s="294" t="s">
        <v>274</v>
      </c>
      <c r="D245" s="295" t="s">
        <v>1041</v>
      </c>
      <c r="E245" s="296">
        <v>4</v>
      </c>
      <c r="F245" s="294">
        <v>6.2</v>
      </c>
      <c r="G245" s="308">
        <f t="shared" si="36"/>
        <v>17.341885869999999</v>
      </c>
      <c r="H245" s="294">
        <v>205.9</v>
      </c>
      <c r="I245" s="297"/>
      <c r="J245" s="297"/>
      <c r="K245" s="294">
        <f t="shared" si="37"/>
        <v>2.3512</v>
      </c>
      <c r="L245" s="294">
        <f t="shared" si="38"/>
        <v>0.49684368447763227</v>
      </c>
      <c r="M245" s="309">
        <f t="shared" si="41"/>
        <v>3.2137917955075448</v>
      </c>
      <c r="N245" s="294">
        <v>0</v>
      </c>
      <c r="O245" s="294" t="str">
        <f t="shared" si="33"/>
        <v/>
      </c>
      <c r="P245" s="294"/>
    </row>
    <row r="246" spans="1:16">
      <c r="A246" s="294"/>
      <c r="B246" s="294" t="s">
        <v>254</v>
      </c>
      <c r="C246" s="294" t="s">
        <v>274</v>
      </c>
      <c r="D246" s="295" t="s">
        <v>1041</v>
      </c>
      <c r="E246" s="296">
        <v>5</v>
      </c>
      <c r="F246" s="294">
        <v>11.9</v>
      </c>
      <c r="G246" s="308">
        <f t="shared" ref="G246:G277" si="42">$T$11+$T$12*H246+INDEX($T$13:$T$24,MATCH(E246,$S$13:$S$24,0),1)</f>
        <v>19.904787840000001</v>
      </c>
      <c r="H246" s="294">
        <v>222.8</v>
      </c>
      <c r="I246" s="297"/>
      <c r="J246" s="297"/>
      <c r="K246" s="294">
        <f t="shared" si="37"/>
        <v>2.2143999999999999</v>
      </c>
      <c r="L246" s="294">
        <f t="shared" si="38"/>
        <v>0.57726765540955094</v>
      </c>
      <c r="M246" s="309">
        <f t="shared" si="41"/>
        <v>4.5963691828458968</v>
      </c>
      <c r="N246" s="294">
        <v>0</v>
      </c>
      <c r="O246" s="294" t="str">
        <f t="shared" si="33"/>
        <v/>
      </c>
      <c r="P246" s="294"/>
    </row>
    <row r="247" spans="1:16">
      <c r="A247" s="294"/>
      <c r="B247" s="294" t="s">
        <v>254</v>
      </c>
      <c r="C247" s="294" t="s">
        <v>274</v>
      </c>
      <c r="D247" s="295" t="s">
        <v>1041</v>
      </c>
      <c r="E247" s="296">
        <v>6</v>
      </c>
      <c r="F247" s="294">
        <v>15.3</v>
      </c>
      <c r="G247" s="308">
        <f t="shared" si="42"/>
        <v>16.28776895</v>
      </c>
      <c r="H247" s="294">
        <v>141.5</v>
      </c>
      <c r="I247" s="297"/>
      <c r="J247" s="297"/>
      <c r="K247" s="294">
        <f t="shared" si="37"/>
        <v>2.1328</v>
      </c>
      <c r="L247" s="294">
        <f t="shared" si="38"/>
        <v>0.62280743428728291</v>
      </c>
      <c r="M247" s="309">
        <f t="shared" si="41"/>
        <v>4.2039245293240386</v>
      </c>
      <c r="N247" s="294">
        <v>0</v>
      </c>
      <c r="O247" s="294" t="str">
        <f t="shared" si="33"/>
        <v/>
      </c>
      <c r="P247" s="294"/>
    </row>
    <row r="248" spans="1:16">
      <c r="A248" s="294"/>
      <c r="B248" s="294" t="s">
        <v>254</v>
      </c>
      <c r="C248" s="294" t="s">
        <v>274</v>
      </c>
      <c r="D248" s="295" t="s">
        <v>1046</v>
      </c>
      <c r="E248" s="296">
        <v>7</v>
      </c>
      <c r="F248" s="294">
        <v>19.399999999999999</v>
      </c>
      <c r="G248" s="308">
        <f t="shared" si="42"/>
        <v>16.838393320000002</v>
      </c>
      <c r="H248" s="294">
        <v>162.4</v>
      </c>
      <c r="I248" s="297"/>
      <c r="J248" s="297"/>
      <c r="K248" s="294">
        <f t="shared" si="37"/>
        <v>2.0344000000000002</v>
      </c>
      <c r="L248" s="294">
        <f t="shared" si="38"/>
        <v>0.67396814722434939</v>
      </c>
      <c r="M248" s="309">
        <f t="shared" si="41"/>
        <v>4.9495391557906716</v>
      </c>
      <c r="N248" s="294">
        <v>1</v>
      </c>
      <c r="O248" s="294">
        <f t="shared" si="33"/>
        <v>4.9495391557906716</v>
      </c>
      <c r="P248" s="294"/>
    </row>
    <row r="249" spans="1:16">
      <c r="A249" s="294"/>
      <c r="B249" s="294" t="s">
        <v>254</v>
      </c>
      <c r="C249" s="294" t="s">
        <v>274</v>
      </c>
      <c r="D249" s="295" t="s">
        <v>1041</v>
      </c>
      <c r="E249" s="296">
        <v>8</v>
      </c>
      <c r="F249" s="294">
        <v>20.8</v>
      </c>
      <c r="G249" s="308">
        <f t="shared" si="42"/>
        <v>15.080583219999999</v>
      </c>
      <c r="H249" s="294">
        <v>140.4</v>
      </c>
      <c r="I249" s="297"/>
      <c r="J249" s="297"/>
      <c r="K249" s="294">
        <f t="shared" si="37"/>
        <v>2.0007999999999999</v>
      </c>
      <c r="L249" s="294">
        <f t="shared" si="38"/>
        <v>0.69033135678862079</v>
      </c>
      <c r="M249" s="309">
        <f t="shared" si="41"/>
        <v>4.6093191344520497</v>
      </c>
      <c r="N249" s="294">
        <v>0</v>
      </c>
      <c r="O249" s="294" t="str">
        <f t="shared" si="33"/>
        <v/>
      </c>
      <c r="P249" s="294"/>
    </row>
    <row r="250" spans="1:16">
      <c r="A250" s="294"/>
      <c r="B250" s="294" t="s">
        <v>254</v>
      </c>
      <c r="C250" s="294" t="s">
        <v>274</v>
      </c>
      <c r="D250" s="295" t="s">
        <v>1046</v>
      </c>
      <c r="E250" s="296">
        <v>9</v>
      </c>
      <c r="F250" s="294">
        <v>16</v>
      </c>
      <c r="G250" s="308">
        <f t="shared" si="42"/>
        <v>12.90565222</v>
      </c>
      <c r="H250" s="294">
        <v>131.4</v>
      </c>
      <c r="I250" s="297"/>
      <c r="J250" s="297"/>
      <c r="K250" s="294">
        <f t="shared" si="37"/>
        <v>2.1160000000000001</v>
      </c>
      <c r="L250" s="294">
        <f t="shared" si="38"/>
        <v>0.63185951626122749</v>
      </c>
      <c r="M250" s="309">
        <f t="shared" si="41"/>
        <v>3.3853616096737746</v>
      </c>
      <c r="N250" s="294">
        <v>0</v>
      </c>
      <c r="O250" s="294" t="str">
        <f t="shared" si="33"/>
        <v/>
      </c>
      <c r="P250" s="294"/>
    </row>
    <row r="251" spans="1:16">
      <c r="A251" s="294"/>
      <c r="B251" s="294" t="s">
        <v>254</v>
      </c>
      <c r="C251" s="294" t="s">
        <v>274</v>
      </c>
      <c r="D251" s="295" t="s">
        <v>1046</v>
      </c>
      <c r="E251" s="296">
        <v>10</v>
      </c>
      <c r="F251" s="294">
        <v>8.1999999999999993</v>
      </c>
      <c r="G251" s="308">
        <f t="shared" si="42"/>
        <v>10.018269329999999</v>
      </c>
      <c r="H251" s="294">
        <v>134.1</v>
      </c>
      <c r="I251" s="297"/>
      <c r="J251" s="297"/>
      <c r="K251" s="294">
        <f t="shared" si="37"/>
        <v>2.3031999999999999</v>
      </c>
      <c r="L251" s="294">
        <f t="shared" si="38"/>
        <v>0.52544179948777858</v>
      </c>
      <c r="M251" s="309">
        <f t="shared" si="41"/>
        <v>1.9629697118396743</v>
      </c>
      <c r="N251" s="294">
        <v>0</v>
      </c>
      <c r="O251" s="294" t="str">
        <f t="shared" si="33"/>
        <v/>
      </c>
      <c r="P251" s="294"/>
    </row>
    <row r="252" spans="1:16">
      <c r="A252" s="294"/>
      <c r="B252" s="294" t="s">
        <v>254</v>
      </c>
      <c r="C252" s="294" t="s">
        <v>274</v>
      </c>
      <c r="D252" s="295" t="s">
        <v>1041</v>
      </c>
      <c r="E252" s="296">
        <v>11</v>
      </c>
      <c r="F252" s="294">
        <v>3.5</v>
      </c>
      <c r="G252" s="308">
        <f t="shared" si="42"/>
        <v>6.7086256500000001</v>
      </c>
      <c r="H252" s="294">
        <v>90.5</v>
      </c>
      <c r="I252" s="297"/>
      <c r="J252" s="297"/>
      <c r="K252" s="294">
        <f t="shared" si="37"/>
        <v>2.4159999999999999</v>
      </c>
      <c r="L252" s="294">
        <f t="shared" si="38"/>
        <v>0.45803688004667531</v>
      </c>
      <c r="M252" s="309">
        <f t="shared" si="41"/>
        <v>1.0435710892588075</v>
      </c>
      <c r="N252" s="294">
        <v>0</v>
      </c>
      <c r="O252" s="294" t="str">
        <f t="shared" si="33"/>
        <v/>
      </c>
      <c r="P252" s="294"/>
    </row>
    <row r="253" spans="1:16">
      <c r="A253" s="294"/>
      <c r="B253" s="294" t="s">
        <v>254</v>
      </c>
      <c r="C253" s="294" t="s">
        <v>274</v>
      </c>
      <c r="D253" s="295" t="s">
        <v>1041</v>
      </c>
      <c r="E253" s="296">
        <v>12</v>
      </c>
      <c r="F253" s="294">
        <v>-1.3</v>
      </c>
      <c r="G253" s="308">
        <f t="shared" si="42"/>
        <v>3.5335007000000003</v>
      </c>
      <c r="H253" s="294">
        <v>49</v>
      </c>
      <c r="I253" s="297"/>
      <c r="J253" s="297"/>
      <c r="K253" s="294">
        <f t="shared" si="37"/>
        <v>2.5312000000000001</v>
      </c>
      <c r="L253" s="294">
        <f t="shared" si="38"/>
        <v>0.38996100241768811</v>
      </c>
      <c r="M253" s="309">
        <f t="shared" si="41"/>
        <v>0.38375008685175077</v>
      </c>
      <c r="N253" s="294">
        <v>0</v>
      </c>
      <c r="O253" s="294" t="str">
        <f t="shared" si="33"/>
        <v/>
      </c>
      <c r="P253" s="294"/>
    </row>
    <row r="254" spans="1:16">
      <c r="A254" s="294">
        <v>22</v>
      </c>
      <c r="B254" s="294" t="s">
        <v>254</v>
      </c>
      <c r="C254" s="294" t="s">
        <v>541</v>
      </c>
      <c r="D254" s="295" t="s">
        <v>1041</v>
      </c>
      <c r="E254" s="296">
        <v>1</v>
      </c>
      <c r="F254" s="294">
        <v>-3.8</v>
      </c>
      <c r="G254" s="308">
        <f t="shared" si="42"/>
        <v>6.3240103000000003</v>
      </c>
      <c r="H254" s="294">
        <v>95</v>
      </c>
      <c r="I254" s="306">
        <v>0.71199999999999997</v>
      </c>
      <c r="J254" s="307">
        <v>0.73</v>
      </c>
      <c r="K254" s="294">
        <f t="shared" si="37"/>
        <v>2.5912000000000002</v>
      </c>
      <c r="L254" s="294">
        <f t="shared" si="38"/>
        <v>0.35572068107684945</v>
      </c>
      <c r="M254" s="309">
        <f>$I$254*L254*(G254/K254)+$J$254</f>
        <v>1.3481313101071872</v>
      </c>
      <c r="N254" s="294">
        <v>0</v>
      </c>
      <c r="O254" s="294" t="str">
        <f t="shared" si="33"/>
        <v/>
      </c>
      <c r="P254" s="294">
        <f>AVERAGE(O254:O265)</f>
        <v>4.6734468602550265</v>
      </c>
    </row>
    <row r="255" spans="1:16">
      <c r="A255" s="294"/>
      <c r="B255" s="294" t="s">
        <v>254</v>
      </c>
      <c r="C255" s="294" t="s">
        <v>541</v>
      </c>
      <c r="D255" s="295" t="s">
        <v>1041</v>
      </c>
      <c r="E255" s="296">
        <v>2</v>
      </c>
      <c r="F255" s="294">
        <v>-3.4</v>
      </c>
      <c r="G255" s="308">
        <f t="shared" si="42"/>
        <v>7.8702805399999995</v>
      </c>
      <c r="H255" s="294">
        <v>75.8</v>
      </c>
      <c r="I255" s="297"/>
      <c r="J255" s="297"/>
      <c r="K255" s="294">
        <f t="shared" si="37"/>
        <v>2.5815999999999999</v>
      </c>
      <c r="L255" s="294">
        <f t="shared" si="38"/>
        <v>0.36112113849795491</v>
      </c>
      <c r="M255" s="309">
        <f t="shared" ref="M255:M265" si="43">$I$254*L255*(G255/K255)+$J$254</f>
        <v>1.5138521708471515</v>
      </c>
      <c r="N255" s="294">
        <v>0</v>
      </c>
      <c r="O255" s="294" t="str">
        <f t="shared" si="33"/>
        <v/>
      </c>
      <c r="P255" s="294"/>
    </row>
    <row r="256" spans="1:16">
      <c r="A256" s="294"/>
      <c r="B256" s="294" t="s">
        <v>254</v>
      </c>
      <c r="C256" s="294" t="s">
        <v>541</v>
      </c>
      <c r="D256" s="295" t="s">
        <v>1046</v>
      </c>
      <c r="E256" s="296">
        <v>3</v>
      </c>
      <c r="F256" s="294">
        <v>1.3</v>
      </c>
      <c r="G256" s="308">
        <f t="shared" si="42"/>
        <v>12.429755629999999</v>
      </c>
      <c r="H256" s="294">
        <v>140.1</v>
      </c>
      <c r="I256" s="297"/>
      <c r="J256" s="297"/>
      <c r="K256" s="294">
        <f t="shared" si="37"/>
        <v>2.4687999999999999</v>
      </c>
      <c r="L256" s="294">
        <f t="shared" si="38"/>
        <v>0.42657075115619864</v>
      </c>
      <c r="M256" s="309">
        <f t="shared" si="43"/>
        <v>2.2591417609337681</v>
      </c>
      <c r="N256" s="294">
        <v>0</v>
      </c>
      <c r="O256" s="294" t="str">
        <f t="shared" si="33"/>
        <v/>
      </c>
      <c r="P256" s="294"/>
    </row>
    <row r="257" spans="1:16">
      <c r="A257" s="294"/>
      <c r="B257" s="294" t="s">
        <v>254</v>
      </c>
      <c r="C257" s="294" t="s">
        <v>541</v>
      </c>
      <c r="D257" s="295" t="s">
        <v>1041</v>
      </c>
      <c r="E257" s="296">
        <v>4</v>
      </c>
      <c r="F257" s="294">
        <v>6.4</v>
      </c>
      <c r="G257" s="308">
        <f t="shared" si="42"/>
        <v>17.85625396</v>
      </c>
      <c r="H257" s="294">
        <v>217.2</v>
      </c>
      <c r="I257" s="297"/>
      <c r="J257" s="297"/>
      <c r="K257" s="294">
        <f t="shared" si="37"/>
        <v>2.3464</v>
      </c>
      <c r="L257" s="294">
        <f t="shared" si="38"/>
        <v>0.49971367779083725</v>
      </c>
      <c r="M257" s="309">
        <f t="shared" si="43"/>
        <v>3.4376313538178427</v>
      </c>
      <c r="N257" s="294">
        <v>0</v>
      </c>
      <c r="O257" s="294" t="str">
        <f t="shared" si="33"/>
        <v/>
      </c>
      <c r="P257" s="294"/>
    </row>
    <row r="258" spans="1:16">
      <c r="A258" s="294"/>
      <c r="B258" s="294" t="s">
        <v>254</v>
      </c>
      <c r="C258" s="294" t="s">
        <v>541</v>
      </c>
      <c r="D258" s="295" t="s">
        <v>1041</v>
      </c>
      <c r="E258" s="296">
        <v>5</v>
      </c>
      <c r="F258" s="294">
        <v>11.3</v>
      </c>
      <c r="G258" s="308">
        <f t="shared" si="42"/>
        <v>20.910764370000003</v>
      </c>
      <c r="H258" s="294">
        <v>244.9</v>
      </c>
      <c r="I258" s="297"/>
      <c r="J258" s="297"/>
      <c r="K258" s="294">
        <f t="shared" si="37"/>
        <v>2.2288000000000001</v>
      </c>
      <c r="L258" s="294">
        <f t="shared" si="38"/>
        <v>0.56899694033307113</v>
      </c>
      <c r="M258" s="309">
        <f t="shared" si="43"/>
        <v>4.5309200439463968</v>
      </c>
      <c r="N258" s="294">
        <v>0</v>
      </c>
      <c r="O258" s="294" t="str">
        <f t="shared" ref="O258:O321" si="44">IF(N258*M258=0,"",N258*M258)</f>
        <v/>
      </c>
      <c r="P258" s="294"/>
    </row>
    <row r="259" spans="1:16">
      <c r="A259" s="294"/>
      <c r="B259" s="294" t="s">
        <v>254</v>
      </c>
      <c r="C259" s="294" t="s">
        <v>541</v>
      </c>
      <c r="D259" s="295" t="s">
        <v>1041</v>
      </c>
      <c r="E259" s="296">
        <v>6</v>
      </c>
      <c r="F259" s="294">
        <v>11.5</v>
      </c>
      <c r="G259" s="308">
        <f t="shared" si="42"/>
        <v>14.92218995</v>
      </c>
      <c r="H259" s="294">
        <v>111.5</v>
      </c>
      <c r="I259" s="297"/>
      <c r="J259" s="297"/>
      <c r="K259" s="294">
        <f t="shared" si="37"/>
        <v>2.2240000000000002</v>
      </c>
      <c r="L259" s="294">
        <f t="shared" si="38"/>
        <v>0.57176059614784436</v>
      </c>
      <c r="M259" s="309">
        <f t="shared" si="43"/>
        <v>3.4614420853462589</v>
      </c>
      <c r="N259" s="294">
        <v>0</v>
      </c>
      <c r="O259" s="294" t="str">
        <f t="shared" si="44"/>
        <v/>
      </c>
      <c r="P259" s="294"/>
    </row>
    <row r="260" spans="1:16">
      <c r="A260" s="294"/>
      <c r="B260" s="294" t="s">
        <v>254</v>
      </c>
      <c r="C260" s="294" t="s">
        <v>541</v>
      </c>
      <c r="D260" s="295" t="s">
        <v>1041</v>
      </c>
      <c r="E260" s="296">
        <v>7</v>
      </c>
      <c r="F260" s="294">
        <v>18.100000000000001</v>
      </c>
      <c r="G260" s="308">
        <f t="shared" si="42"/>
        <v>17.380072990000002</v>
      </c>
      <c r="H260" s="294">
        <v>174.3</v>
      </c>
      <c r="I260" s="297"/>
      <c r="J260" s="297"/>
      <c r="K260" s="294">
        <f t="shared" si="37"/>
        <v>2.0655999999999999</v>
      </c>
      <c r="L260" s="294">
        <f t="shared" si="38"/>
        <v>0.65824963683932147</v>
      </c>
      <c r="M260" s="309">
        <f t="shared" si="43"/>
        <v>4.6734468602550265</v>
      </c>
      <c r="N260" s="294">
        <v>1</v>
      </c>
      <c r="O260" s="294">
        <f t="shared" si="44"/>
        <v>4.6734468602550265</v>
      </c>
      <c r="P260" s="294"/>
    </row>
    <row r="261" spans="1:16">
      <c r="A261" s="294"/>
      <c r="B261" s="294" t="s">
        <v>254</v>
      </c>
      <c r="C261" s="294" t="s">
        <v>541</v>
      </c>
      <c r="D261" s="295" t="s">
        <v>1041</v>
      </c>
      <c r="E261" s="296">
        <v>8</v>
      </c>
      <c r="F261" s="294">
        <v>18.5</v>
      </c>
      <c r="G261" s="308">
        <f t="shared" si="42"/>
        <v>13.774179309999999</v>
      </c>
      <c r="H261" s="294">
        <v>111.7</v>
      </c>
      <c r="I261" s="297"/>
      <c r="J261" s="297"/>
      <c r="K261" s="294">
        <f t="shared" si="37"/>
        <v>2.056</v>
      </c>
      <c r="L261" s="294">
        <f t="shared" si="38"/>
        <v>0.6631383655085662</v>
      </c>
      <c r="M261" s="309">
        <f t="shared" si="43"/>
        <v>3.8932008602845229</v>
      </c>
      <c r="N261" s="294">
        <v>0</v>
      </c>
      <c r="O261" s="294" t="str">
        <f t="shared" si="44"/>
        <v/>
      </c>
      <c r="P261" s="294"/>
    </row>
    <row r="262" spans="1:16">
      <c r="A262" s="294"/>
      <c r="B262" s="294" t="s">
        <v>254</v>
      </c>
      <c r="C262" s="294" t="s">
        <v>541</v>
      </c>
      <c r="D262" s="295" t="s">
        <v>1046</v>
      </c>
      <c r="E262" s="296">
        <v>9</v>
      </c>
      <c r="F262" s="294">
        <v>16.2</v>
      </c>
      <c r="G262" s="308">
        <f t="shared" si="42"/>
        <v>14.444204559999999</v>
      </c>
      <c r="H262" s="294">
        <v>165.2</v>
      </c>
      <c r="I262" s="297"/>
      <c r="J262" s="297"/>
      <c r="K262" s="294">
        <f t="shared" si="37"/>
        <v>2.1112000000000002</v>
      </c>
      <c r="L262" s="294">
        <f t="shared" si="38"/>
        <v>0.63442324399527317</v>
      </c>
      <c r="M262" s="309">
        <f t="shared" si="43"/>
        <v>3.8204614669795371</v>
      </c>
      <c r="N262" s="294">
        <v>0</v>
      </c>
      <c r="O262" s="294" t="str">
        <f t="shared" si="44"/>
        <v/>
      </c>
      <c r="P262" s="294"/>
    </row>
    <row r="263" spans="1:16">
      <c r="A263" s="294"/>
      <c r="B263" s="294" t="s">
        <v>254</v>
      </c>
      <c r="C263" s="294" t="s">
        <v>541</v>
      </c>
      <c r="D263" s="295" t="s">
        <v>1046</v>
      </c>
      <c r="E263" s="296">
        <v>10</v>
      </c>
      <c r="F263" s="294">
        <v>9.6</v>
      </c>
      <c r="G263" s="308">
        <f t="shared" si="42"/>
        <v>11.565925529999999</v>
      </c>
      <c r="H263" s="294">
        <v>168.1</v>
      </c>
      <c r="I263" s="297"/>
      <c r="J263" s="297"/>
      <c r="K263" s="294">
        <f t="shared" si="37"/>
        <v>2.2696000000000001</v>
      </c>
      <c r="L263" s="294">
        <f t="shared" si="38"/>
        <v>0.54526128290874298</v>
      </c>
      <c r="M263" s="309">
        <f t="shared" si="43"/>
        <v>2.708407380803016</v>
      </c>
      <c r="N263" s="294">
        <v>0</v>
      </c>
      <c r="O263" s="294" t="str">
        <f t="shared" si="44"/>
        <v/>
      </c>
      <c r="P263" s="294"/>
    </row>
    <row r="264" spans="1:16">
      <c r="A264" s="294"/>
      <c r="B264" s="294" t="s">
        <v>254</v>
      </c>
      <c r="C264" s="294" t="s">
        <v>541</v>
      </c>
      <c r="D264" s="295" t="s">
        <v>1041</v>
      </c>
      <c r="E264" s="296">
        <v>11</v>
      </c>
      <c r="F264" s="294">
        <v>3.4</v>
      </c>
      <c r="G264" s="308">
        <f t="shared" si="42"/>
        <v>6.3126077399999989</v>
      </c>
      <c r="H264" s="294">
        <v>81.8</v>
      </c>
      <c r="I264" s="297"/>
      <c r="J264" s="297"/>
      <c r="K264" s="294">
        <f t="shared" si="37"/>
        <v>2.4184000000000001</v>
      </c>
      <c r="L264" s="294">
        <f t="shared" si="38"/>
        <v>0.45660104450706968</v>
      </c>
      <c r="M264" s="309">
        <f t="shared" si="43"/>
        <v>1.5785893238525293</v>
      </c>
      <c r="N264" s="294">
        <v>0</v>
      </c>
      <c r="O264" s="294" t="str">
        <f t="shared" si="44"/>
        <v/>
      </c>
      <c r="P264" s="294"/>
    </row>
    <row r="265" spans="1:16">
      <c r="A265" s="294"/>
      <c r="B265" s="294" t="s">
        <v>254</v>
      </c>
      <c r="C265" s="294" t="s">
        <v>541</v>
      </c>
      <c r="D265" s="295" t="s">
        <v>1041</v>
      </c>
      <c r="E265" s="296">
        <v>12</v>
      </c>
      <c r="F265" s="294">
        <v>-1</v>
      </c>
      <c r="G265" s="308">
        <f t="shared" si="42"/>
        <v>6.3465934399999986</v>
      </c>
      <c r="H265" s="294">
        <v>110.8</v>
      </c>
      <c r="I265" s="297"/>
      <c r="J265" s="297"/>
      <c r="K265" s="294">
        <f t="shared" si="37"/>
        <v>2.524</v>
      </c>
      <c r="L265" s="294">
        <f t="shared" si="38"/>
        <v>0.39414056252498569</v>
      </c>
      <c r="M265" s="309">
        <f t="shared" si="43"/>
        <v>1.4356388014635484</v>
      </c>
      <c r="N265" s="294">
        <v>0</v>
      </c>
      <c r="O265" s="294" t="str">
        <f t="shared" si="44"/>
        <v/>
      </c>
      <c r="P265" s="294"/>
    </row>
    <row r="266" spans="1:16">
      <c r="A266" s="294">
        <v>23</v>
      </c>
      <c r="B266" s="294" t="s">
        <v>254</v>
      </c>
      <c r="C266" s="294" t="s">
        <v>276</v>
      </c>
      <c r="D266" s="295" t="s">
        <v>1041</v>
      </c>
      <c r="E266" s="296">
        <v>1</v>
      </c>
      <c r="F266" s="294">
        <v>-3.1</v>
      </c>
      <c r="G266" s="308">
        <f t="shared" si="42"/>
        <v>8.895850750000001</v>
      </c>
      <c r="H266" s="294">
        <v>151.5</v>
      </c>
      <c r="I266" s="306">
        <v>0.56000000000000005</v>
      </c>
      <c r="J266" s="307">
        <v>1.02</v>
      </c>
      <c r="K266" s="294">
        <f t="shared" si="37"/>
        <v>2.5743999999999998</v>
      </c>
      <c r="L266" s="294">
        <f t="shared" si="38"/>
        <v>0.3651923034981297</v>
      </c>
      <c r="M266" s="309">
        <f>$I$266*L266*(G266/K266)+$J$266</f>
        <v>1.7266772401732897</v>
      </c>
      <c r="N266" s="294">
        <v>0</v>
      </c>
      <c r="O266" s="294" t="str">
        <f t="shared" si="44"/>
        <v/>
      </c>
      <c r="P266" s="294">
        <f>AVERAGE(O266:O277)</f>
        <v>4.019430834931935</v>
      </c>
    </row>
    <row r="267" spans="1:16">
      <c r="A267" s="294"/>
      <c r="B267" s="294" t="s">
        <v>254</v>
      </c>
      <c r="C267" s="294" t="s">
        <v>276</v>
      </c>
      <c r="D267" s="295" t="s">
        <v>1041</v>
      </c>
      <c r="E267" s="296">
        <v>2</v>
      </c>
      <c r="F267" s="294">
        <v>-2.1</v>
      </c>
      <c r="G267" s="308">
        <f t="shared" si="42"/>
        <v>10.387497829999999</v>
      </c>
      <c r="H267" s="294">
        <v>131.1</v>
      </c>
      <c r="I267" s="297"/>
      <c r="J267" s="297"/>
      <c r="K267" s="294">
        <f t="shared" si="37"/>
        <v>2.5503999999999998</v>
      </c>
      <c r="L267" s="294">
        <f t="shared" si="38"/>
        <v>0.37888410504208653</v>
      </c>
      <c r="M267" s="309">
        <f t="shared" ref="M267:M277" si="45">$I$266*L267*(G267/K267)+$J$266</f>
        <v>1.8841657695302121</v>
      </c>
      <c r="N267" s="294">
        <v>0</v>
      </c>
      <c r="O267" s="294" t="str">
        <f t="shared" si="44"/>
        <v/>
      </c>
      <c r="P267" s="294"/>
    </row>
    <row r="268" spans="1:16">
      <c r="A268" s="294"/>
      <c r="B268" s="294" t="s">
        <v>254</v>
      </c>
      <c r="C268" s="294" t="s">
        <v>276</v>
      </c>
      <c r="D268" s="295" t="s">
        <v>1041</v>
      </c>
      <c r="E268" s="296">
        <v>3</v>
      </c>
      <c r="F268" s="294">
        <v>2.1</v>
      </c>
      <c r="G268" s="308">
        <f t="shared" si="42"/>
        <v>11.787933500000001</v>
      </c>
      <c r="H268" s="294">
        <v>126</v>
      </c>
      <c r="I268" s="297"/>
      <c r="J268" s="297"/>
      <c r="K268" s="294">
        <f t="shared" si="37"/>
        <v>2.4496000000000002</v>
      </c>
      <c r="L268" s="294">
        <f t="shared" si="38"/>
        <v>0.43797709139280494</v>
      </c>
      <c r="M268" s="309">
        <f t="shared" si="45"/>
        <v>2.200271515187219</v>
      </c>
      <c r="N268" s="294">
        <v>0</v>
      </c>
      <c r="O268" s="294" t="str">
        <f t="shared" si="44"/>
        <v/>
      </c>
      <c r="P268" s="294"/>
    </row>
    <row r="269" spans="1:16">
      <c r="A269" s="294"/>
      <c r="B269" s="294" t="s">
        <v>254</v>
      </c>
      <c r="C269" s="294" t="s">
        <v>276</v>
      </c>
      <c r="D269" s="295" t="s">
        <v>1041</v>
      </c>
      <c r="E269" s="296">
        <v>4</v>
      </c>
      <c r="F269" s="294">
        <v>6.4</v>
      </c>
      <c r="G269" s="308">
        <f t="shared" si="42"/>
        <v>16.72737532</v>
      </c>
      <c r="H269" s="294">
        <v>192.4</v>
      </c>
      <c r="I269" s="297"/>
      <c r="J269" s="297"/>
      <c r="K269" s="294">
        <f t="shared" si="37"/>
        <v>2.3464</v>
      </c>
      <c r="L269" s="294">
        <f t="shared" si="38"/>
        <v>0.49971367779083725</v>
      </c>
      <c r="M269" s="309">
        <f t="shared" si="45"/>
        <v>3.0149637806551035</v>
      </c>
      <c r="N269" s="294">
        <v>0</v>
      </c>
      <c r="O269" s="294" t="str">
        <f t="shared" si="44"/>
        <v/>
      </c>
      <c r="P269" s="294"/>
    </row>
    <row r="270" spans="1:16">
      <c r="A270" s="294"/>
      <c r="B270" s="294" t="s">
        <v>254</v>
      </c>
      <c r="C270" s="294" t="s">
        <v>276</v>
      </c>
      <c r="D270" s="295" t="s">
        <v>1041</v>
      </c>
      <c r="E270" s="296">
        <v>5</v>
      </c>
      <c r="F270" s="294">
        <v>12.1</v>
      </c>
      <c r="G270" s="308">
        <f t="shared" si="42"/>
        <v>21.170224380000001</v>
      </c>
      <c r="H270" s="294">
        <v>250.6</v>
      </c>
      <c r="I270" s="297"/>
      <c r="J270" s="297"/>
      <c r="K270" s="294">
        <f t="shared" si="37"/>
        <v>2.2096</v>
      </c>
      <c r="L270" s="294">
        <f t="shared" si="38"/>
        <v>0.58001070845649794</v>
      </c>
      <c r="M270" s="309">
        <f t="shared" si="45"/>
        <v>4.1319731312739965</v>
      </c>
      <c r="N270" s="294">
        <v>0</v>
      </c>
      <c r="O270" s="294" t="str">
        <f t="shared" si="44"/>
        <v/>
      </c>
      <c r="P270" s="294"/>
    </row>
    <row r="271" spans="1:16">
      <c r="A271" s="294"/>
      <c r="B271" s="294" t="s">
        <v>254</v>
      </c>
      <c r="C271" s="294" t="s">
        <v>276</v>
      </c>
      <c r="D271" s="295" t="s">
        <v>1046</v>
      </c>
      <c r="E271" s="296">
        <v>6</v>
      </c>
      <c r="F271" s="294">
        <v>13.3</v>
      </c>
      <c r="G271" s="308">
        <f t="shared" si="42"/>
        <v>14.98136504</v>
      </c>
      <c r="H271" s="294">
        <v>112.8</v>
      </c>
      <c r="I271" s="297"/>
      <c r="J271" s="297"/>
      <c r="K271" s="294">
        <f t="shared" si="37"/>
        <v>2.1808000000000001</v>
      </c>
      <c r="L271" s="294">
        <f t="shared" si="38"/>
        <v>0.59631162235041102</v>
      </c>
      <c r="M271" s="309">
        <f t="shared" si="45"/>
        <v>3.3140181454212367</v>
      </c>
      <c r="N271" s="294">
        <v>0</v>
      </c>
      <c r="O271" s="294" t="str">
        <f t="shared" si="44"/>
        <v/>
      </c>
      <c r="P271" s="294"/>
    </row>
    <row r="272" spans="1:16">
      <c r="A272" s="294"/>
      <c r="B272" s="294" t="s">
        <v>254</v>
      </c>
      <c r="C272" s="294" t="s">
        <v>276</v>
      </c>
      <c r="D272" s="295" t="s">
        <v>1041</v>
      </c>
      <c r="E272" s="296">
        <v>7</v>
      </c>
      <c r="F272" s="294">
        <v>18.3</v>
      </c>
      <c r="G272" s="308">
        <f t="shared" si="42"/>
        <v>16.70638735</v>
      </c>
      <c r="H272" s="294">
        <v>159.5</v>
      </c>
      <c r="I272" s="297"/>
      <c r="J272" s="297"/>
      <c r="K272" s="294">
        <f t="shared" si="37"/>
        <v>2.0608</v>
      </c>
      <c r="L272" s="294">
        <f t="shared" si="38"/>
        <v>0.66069972168755697</v>
      </c>
      <c r="M272" s="309">
        <f t="shared" si="45"/>
        <v>4.019430834931935</v>
      </c>
      <c r="N272" s="294">
        <v>1</v>
      </c>
      <c r="O272" s="294">
        <f t="shared" si="44"/>
        <v>4.019430834931935</v>
      </c>
      <c r="P272" s="294"/>
    </row>
    <row r="273" spans="1:16">
      <c r="A273" s="294"/>
      <c r="B273" s="294" t="s">
        <v>254</v>
      </c>
      <c r="C273" s="294" t="s">
        <v>276</v>
      </c>
      <c r="D273" s="295" t="s">
        <v>1041</v>
      </c>
      <c r="E273" s="296">
        <v>8</v>
      </c>
      <c r="F273" s="294">
        <v>18.5</v>
      </c>
      <c r="G273" s="308">
        <f t="shared" si="42"/>
        <v>13.988120019999998</v>
      </c>
      <c r="H273" s="294">
        <v>116.4</v>
      </c>
      <c r="I273" s="297"/>
      <c r="J273" s="297"/>
      <c r="K273" s="294">
        <f t="shared" si="37"/>
        <v>2.056</v>
      </c>
      <c r="L273" s="294">
        <f t="shared" si="38"/>
        <v>0.6631383655085662</v>
      </c>
      <c r="M273" s="309">
        <f t="shared" si="45"/>
        <v>3.5465530477121856</v>
      </c>
      <c r="N273" s="294">
        <v>0</v>
      </c>
      <c r="O273" s="294" t="str">
        <f t="shared" si="44"/>
        <v/>
      </c>
      <c r="P273" s="294"/>
    </row>
    <row r="274" spans="1:16">
      <c r="A274" s="294"/>
      <c r="B274" s="294" t="s">
        <v>254</v>
      </c>
      <c r="C274" s="294" t="s">
        <v>276</v>
      </c>
      <c r="D274" s="295" t="s">
        <v>1046</v>
      </c>
      <c r="E274" s="296">
        <v>9</v>
      </c>
      <c r="F274" s="294">
        <v>16.2</v>
      </c>
      <c r="G274" s="308">
        <f t="shared" si="42"/>
        <v>14.18474455</v>
      </c>
      <c r="H274" s="294">
        <v>159.5</v>
      </c>
      <c r="I274" s="297"/>
      <c r="J274" s="297"/>
      <c r="K274" s="294">
        <f t="shared" si="37"/>
        <v>2.1112000000000002</v>
      </c>
      <c r="L274" s="294">
        <f t="shared" si="38"/>
        <v>0.63442324399527317</v>
      </c>
      <c r="M274" s="309">
        <f t="shared" si="45"/>
        <v>3.4070375736486129</v>
      </c>
      <c r="N274" s="294">
        <v>0</v>
      </c>
      <c r="O274" s="294" t="str">
        <f t="shared" si="44"/>
        <v/>
      </c>
      <c r="P274" s="294"/>
    </row>
    <row r="275" spans="1:16">
      <c r="A275" s="294"/>
      <c r="B275" s="294" t="s">
        <v>254</v>
      </c>
      <c r="C275" s="294" t="s">
        <v>276</v>
      </c>
      <c r="D275" s="295" t="s">
        <v>1041</v>
      </c>
      <c r="E275" s="296">
        <v>10</v>
      </c>
      <c r="F275" s="294">
        <v>10.6</v>
      </c>
      <c r="G275" s="308">
        <f t="shared" si="42"/>
        <v>12.85867365</v>
      </c>
      <c r="H275" s="294">
        <v>196.5</v>
      </c>
      <c r="I275" s="297"/>
      <c r="J275" s="297"/>
      <c r="K275" s="294">
        <f t="shared" si="37"/>
        <v>2.2456</v>
      </c>
      <c r="L275" s="294">
        <f t="shared" si="38"/>
        <v>0.55927403042310664</v>
      </c>
      <c r="M275" s="309">
        <f t="shared" si="45"/>
        <v>2.8133970668655612</v>
      </c>
      <c r="N275" s="294">
        <v>0</v>
      </c>
      <c r="O275" s="294" t="str">
        <f t="shared" si="44"/>
        <v/>
      </c>
      <c r="P275" s="294"/>
    </row>
    <row r="276" spans="1:16">
      <c r="A276" s="294"/>
      <c r="B276" s="294" t="s">
        <v>254</v>
      </c>
      <c r="C276" s="294" t="s">
        <v>276</v>
      </c>
      <c r="D276" s="295" t="s">
        <v>1041</v>
      </c>
      <c r="E276" s="296">
        <v>11</v>
      </c>
      <c r="F276" s="294">
        <v>5.3</v>
      </c>
      <c r="G276" s="308">
        <f t="shared" si="42"/>
        <v>8.1151720199999993</v>
      </c>
      <c r="H276" s="294">
        <v>121.4</v>
      </c>
      <c r="I276" s="297"/>
      <c r="J276" s="297"/>
      <c r="K276" s="294">
        <f t="shared" si="37"/>
        <v>2.3727999999999998</v>
      </c>
      <c r="L276" s="294">
        <f t="shared" si="38"/>
        <v>0.48391311512621654</v>
      </c>
      <c r="M276" s="309">
        <f t="shared" si="45"/>
        <v>1.9468127850264054</v>
      </c>
      <c r="N276" s="294">
        <v>0</v>
      </c>
      <c r="O276" s="294" t="str">
        <f t="shared" si="44"/>
        <v/>
      </c>
      <c r="P276" s="294"/>
    </row>
    <row r="277" spans="1:16">
      <c r="A277" s="294"/>
      <c r="B277" s="294" t="s">
        <v>254</v>
      </c>
      <c r="C277" s="294" t="s">
        <v>276</v>
      </c>
      <c r="D277" s="295" t="s">
        <v>1041</v>
      </c>
      <c r="E277" s="296">
        <v>12</v>
      </c>
      <c r="F277" s="294">
        <v>0.4</v>
      </c>
      <c r="G277" s="308">
        <f t="shared" si="42"/>
        <v>8.8911223100000001</v>
      </c>
      <c r="H277" s="294">
        <v>166.7</v>
      </c>
      <c r="I277" s="297"/>
      <c r="J277" s="297"/>
      <c r="K277" s="294">
        <f t="shared" si="37"/>
        <v>2.4904000000000002</v>
      </c>
      <c r="L277" s="294">
        <f t="shared" si="38"/>
        <v>0.41380771688409085</v>
      </c>
      <c r="M277" s="309">
        <f t="shared" si="45"/>
        <v>1.8473210782354041</v>
      </c>
      <c r="N277" s="294">
        <v>0</v>
      </c>
      <c r="O277" s="294" t="str">
        <f t="shared" si="44"/>
        <v/>
      </c>
      <c r="P277" s="294"/>
    </row>
    <row r="278" spans="1:16">
      <c r="A278" s="294">
        <v>24</v>
      </c>
      <c r="B278" s="294" t="s">
        <v>542</v>
      </c>
      <c r="C278" s="294" t="s">
        <v>542</v>
      </c>
      <c r="D278" s="295" t="s">
        <v>1041</v>
      </c>
      <c r="E278" s="296">
        <v>1</v>
      </c>
      <c r="F278" s="294">
        <v>-0.2</v>
      </c>
      <c r="G278" s="294">
        <v>4.8</v>
      </c>
      <c r="H278" s="294"/>
      <c r="I278" s="294">
        <v>0.82599999999999996</v>
      </c>
      <c r="J278" s="294">
        <v>0.3</v>
      </c>
      <c r="K278" s="294">
        <f>2.5-0.024*F278</f>
        <v>2.5047999999999999</v>
      </c>
      <c r="L278" s="294">
        <f>1/(1.05+1.4*EXP(-0.0604*F278))</f>
        <v>0.40534823579524998</v>
      </c>
      <c r="M278" s="297">
        <f>$I$278*L278*(G278/K278)+$J$278</f>
        <v>0.94161796761458283</v>
      </c>
      <c r="N278" s="294">
        <v>0</v>
      </c>
      <c r="O278" s="294" t="str">
        <f t="shared" si="44"/>
        <v/>
      </c>
      <c r="P278" s="294">
        <f>AVERAGE(O278:O289)</f>
        <v>5.8765608805427334</v>
      </c>
    </row>
    <row r="279" spans="1:16">
      <c r="A279" s="294"/>
      <c r="B279" s="294" t="s">
        <v>542</v>
      </c>
      <c r="C279" s="294" t="s">
        <v>542</v>
      </c>
      <c r="D279" s="295" t="s">
        <v>1041</v>
      </c>
      <c r="E279" s="296">
        <v>2</v>
      </c>
      <c r="F279" s="294">
        <v>1.2</v>
      </c>
      <c r="G279" s="294">
        <v>9.1</v>
      </c>
      <c r="H279" s="294"/>
      <c r="I279" s="294"/>
      <c r="J279" s="294"/>
      <c r="K279" s="294">
        <f>2.5-0.024*F279</f>
        <v>2.4712000000000001</v>
      </c>
      <c r="L279" s="294">
        <f t="shared" ref="L279:L325" si="46">1/(1.05+1.4*EXP(-0.0604*F279))</f>
        <v>0.42514872248376501</v>
      </c>
      <c r="M279" s="297">
        <f t="shared" ref="M279:M289" si="47">$I$278*L279*(G279/K279)+$J$278</f>
        <v>1.5931664322683181</v>
      </c>
      <c r="N279" s="294">
        <v>0</v>
      </c>
      <c r="O279" s="294" t="str">
        <f t="shared" si="44"/>
        <v/>
      </c>
      <c r="P279" s="294"/>
    </row>
    <row r="280" spans="1:16">
      <c r="A280" s="294"/>
      <c r="B280" s="294" t="s">
        <v>542</v>
      </c>
      <c r="C280" s="294" t="s">
        <v>542</v>
      </c>
      <c r="D280" s="295" t="s">
        <v>1041</v>
      </c>
      <c r="E280" s="296">
        <v>3</v>
      </c>
      <c r="F280" s="294">
        <v>4.5999999999999996</v>
      </c>
      <c r="G280" s="294">
        <v>12.3</v>
      </c>
      <c r="H280" s="294"/>
      <c r="I280" s="294"/>
      <c r="J280" s="294"/>
      <c r="K280" s="294">
        <f t="shared" ref="K280:K325" si="48">2.5-0.024*F280</f>
        <v>2.3896000000000002</v>
      </c>
      <c r="L280" s="294">
        <f t="shared" si="46"/>
        <v>0.47384714452252824</v>
      </c>
      <c r="M280" s="297">
        <f t="shared" si="47"/>
        <v>2.3146435465851951</v>
      </c>
      <c r="N280" s="294">
        <v>0</v>
      </c>
      <c r="O280" s="294" t="str">
        <f t="shared" si="44"/>
        <v/>
      </c>
      <c r="P280" s="294"/>
    </row>
    <row r="281" spans="1:16">
      <c r="A281" s="294"/>
      <c r="B281" s="294" t="s">
        <v>542</v>
      </c>
      <c r="C281" s="294" t="s">
        <v>542</v>
      </c>
      <c r="D281" s="295" t="s">
        <v>1046</v>
      </c>
      <c r="E281" s="296">
        <v>4</v>
      </c>
      <c r="F281" s="294">
        <v>9.9</v>
      </c>
      <c r="G281" s="294">
        <v>15.8</v>
      </c>
      <c r="H281" s="294"/>
      <c r="I281" s="294"/>
      <c r="J281" s="294"/>
      <c r="K281" s="294">
        <f t="shared" si="48"/>
        <v>2.2624</v>
      </c>
      <c r="L281" s="294">
        <f>1/(1.05+1.4*EXP(-0.0604*F281))</f>
        <v>0.54947914156562316</v>
      </c>
      <c r="M281" s="297">
        <f t="shared" si="47"/>
        <v>3.4697057906403086</v>
      </c>
      <c r="N281" s="294">
        <v>0</v>
      </c>
      <c r="O281" s="294" t="str">
        <f t="shared" si="44"/>
        <v/>
      </c>
      <c r="P281" s="294"/>
    </row>
    <row r="282" spans="1:16">
      <c r="A282" s="294"/>
      <c r="B282" s="294" t="s">
        <v>542</v>
      </c>
      <c r="C282" s="294" t="s">
        <v>542</v>
      </c>
      <c r="D282" s="295" t="s">
        <v>1041</v>
      </c>
      <c r="E282" s="296">
        <v>5</v>
      </c>
      <c r="F282" s="294">
        <v>15.1</v>
      </c>
      <c r="G282" s="294">
        <v>21.2</v>
      </c>
      <c r="H282" s="294"/>
      <c r="I282" s="294"/>
      <c r="J282" s="294"/>
      <c r="K282" s="294">
        <f t="shared" si="48"/>
        <v>2.1375999999999999</v>
      </c>
      <c r="L282" s="294">
        <f>1/(1.05+1.4*EXP(-0.0604*F282))</f>
        <v>0.62019908683052438</v>
      </c>
      <c r="M282" s="297">
        <f t="shared" si="47"/>
        <v>5.3806653486651754</v>
      </c>
      <c r="N282" s="294">
        <v>0</v>
      </c>
      <c r="O282" s="294" t="str">
        <f t="shared" si="44"/>
        <v/>
      </c>
      <c r="P282" s="294"/>
    </row>
    <row r="283" spans="1:16">
      <c r="A283" s="294"/>
      <c r="B283" s="294" t="s">
        <v>542</v>
      </c>
      <c r="C283" s="294" t="s">
        <v>542</v>
      </c>
      <c r="D283" s="295" t="s">
        <v>1041</v>
      </c>
      <c r="E283" s="296">
        <v>6</v>
      </c>
      <c r="F283" s="294">
        <v>18.100000000000001</v>
      </c>
      <c r="G283" s="294">
        <v>20.7</v>
      </c>
      <c r="H283" s="294"/>
      <c r="I283" s="294"/>
      <c r="J283" s="294"/>
      <c r="K283" s="294">
        <f t="shared" si="48"/>
        <v>2.0655999999999999</v>
      </c>
      <c r="L283" s="294">
        <f t="shared" si="46"/>
        <v>0.65824963683932147</v>
      </c>
      <c r="M283" s="297">
        <f t="shared" si="47"/>
        <v>5.748723828720995</v>
      </c>
      <c r="N283" s="294">
        <v>0</v>
      </c>
      <c r="O283" s="294" t="str">
        <f t="shared" si="44"/>
        <v/>
      </c>
      <c r="P283" s="294"/>
    </row>
    <row r="284" spans="1:16">
      <c r="A284" s="294"/>
      <c r="B284" s="294" t="s">
        <v>542</v>
      </c>
      <c r="C284" s="294" t="s">
        <v>542</v>
      </c>
      <c r="D284" s="295" t="s">
        <v>1041</v>
      </c>
      <c r="E284" s="296">
        <v>7</v>
      </c>
      <c r="F284" s="294">
        <v>22.8</v>
      </c>
      <c r="G284" s="294">
        <v>18.5</v>
      </c>
      <c r="H284" s="294"/>
      <c r="I284" s="294"/>
      <c r="J284" s="294"/>
      <c r="K284" s="294">
        <f t="shared" si="48"/>
        <v>1.9527999999999999</v>
      </c>
      <c r="L284" s="294">
        <f t="shared" si="46"/>
        <v>0.71264368087977559</v>
      </c>
      <c r="M284" s="297">
        <f t="shared" si="47"/>
        <v>5.8765608805427334</v>
      </c>
      <c r="N284" s="294">
        <v>1</v>
      </c>
      <c r="O284" s="294">
        <f t="shared" si="44"/>
        <v>5.8765608805427334</v>
      </c>
      <c r="P284" s="294"/>
    </row>
    <row r="285" spans="1:16">
      <c r="A285" s="294"/>
      <c r="B285" s="294" t="s">
        <v>542</v>
      </c>
      <c r="C285" s="294" t="s">
        <v>542</v>
      </c>
      <c r="D285" s="295" t="s">
        <v>1041</v>
      </c>
      <c r="E285" s="296">
        <v>8</v>
      </c>
      <c r="F285" s="294">
        <v>23.6</v>
      </c>
      <c r="G285" s="294">
        <v>17.600000000000001</v>
      </c>
      <c r="H285" s="294"/>
      <c r="I285" s="294"/>
      <c r="J285" s="294"/>
      <c r="K285" s="294">
        <f t="shared" si="48"/>
        <v>1.9336</v>
      </c>
      <c r="L285" s="294">
        <f t="shared" si="46"/>
        <v>0.72120738477570068</v>
      </c>
      <c r="M285" s="297">
        <f t="shared" si="47"/>
        <v>5.7223337178916145</v>
      </c>
      <c r="N285" s="294">
        <v>0</v>
      </c>
      <c r="O285" s="294" t="str">
        <f t="shared" si="44"/>
        <v/>
      </c>
      <c r="P285" s="294"/>
    </row>
    <row r="286" spans="1:16">
      <c r="A286" s="294"/>
      <c r="B286" s="294" t="s">
        <v>542</v>
      </c>
      <c r="C286" s="294" t="s">
        <v>542</v>
      </c>
      <c r="D286" s="295" t="s">
        <v>1046</v>
      </c>
      <c r="E286" s="296">
        <v>9</v>
      </c>
      <c r="F286" s="294">
        <v>19.399999999999999</v>
      </c>
      <c r="G286" s="294">
        <v>13.2</v>
      </c>
      <c r="H286" s="294"/>
      <c r="I286" s="294"/>
      <c r="J286" s="294"/>
      <c r="K286" s="294">
        <f t="shared" si="48"/>
        <v>2.0344000000000002</v>
      </c>
      <c r="L286" s="294">
        <f t="shared" si="46"/>
        <v>0.67396814722434939</v>
      </c>
      <c r="M286" s="297">
        <f t="shared" si="47"/>
        <v>3.9120770265515752</v>
      </c>
      <c r="N286" s="294">
        <v>0</v>
      </c>
      <c r="O286" s="294" t="str">
        <f t="shared" si="44"/>
        <v/>
      </c>
      <c r="P286" s="294"/>
    </row>
    <row r="287" spans="1:16">
      <c r="A287" s="294"/>
      <c r="B287" s="294" t="s">
        <v>542</v>
      </c>
      <c r="C287" s="294" t="s">
        <v>542</v>
      </c>
      <c r="D287" s="295" t="s">
        <v>1041</v>
      </c>
      <c r="E287" s="296">
        <v>10</v>
      </c>
      <c r="F287" s="294">
        <v>12.2</v>
      </c>
      <c r="G287" s="294">
        <v>9.5</v>
      </c>
      <c r="H287" s="294"/>
      <c r="I287" s="294"/>
      <c r="J287" s="294"/>
      <c r="K287" s="294">
        <f t="shared" si="48"/>
        <v>2.2071999999999998</v>
      </c>
      <c r="L287" s="294">
        <f t="shared" si="46"/>
        <v>0.58137954011732995</v>
      </c>
      <c r="M287" s="297">
        <f t="shared" si="47"/>
        <v>2.3669106792772232</v>
      </c>
      <c r="N287" s="294">
        <v>0</v>
      </c>
      <c r="O287" s="294" t="str">
        <f t="shared" si="44"/>
        <v/>
      </c>
      <c r="P287" s="294"/>
    </row>
    <row r="288" spans="1:16">
      <c r="A288" s="294"/>
      <c r="B288" s="294" t="s">
        <v>542</v>
      </c>
      <c r="C288" s="294" t="s">
        <v>542</v>
      </c>
      <c r="D288" s="295" t="s">
        <v>1041</v>
      </c>
      <c r="E288" s="296">
        <v>11</v>
      </c>
      <c r="F288" s="294">
        <v>8.4</v>
      </c>
      <c r="G288" s="294">
        <v>5.8</v>
      </c>
      <c r="H288" s="294"/>
      <c r="I288" s="294"/>
      <c r="J288" s="294"/>
      <c r="K288" s="294">
        <f t="shared" si="48"/>
        <v>2.2984</v>
      </c>
      <c r="L288" s="294">
        <f t="shared" si="46"/>
        <v>0.52828541148097485</v>
      </c>
      <c r="M288" s="297">
        <f t="shared" si="47"/>
        <v>1.4011615686229788</v>
      </c>
      <c r="N288" s="294">
        <v>0</v>
      </c>
      <c r="O288" s="294" t="str">
        <f t="shared" si="44"/>
        <v/>
      </c>
      <c r="P288" s="294"/>
    </row>
    <row r="289" spans="1:16">
      <c r="A289" s="294"/>
      <c r="B289" s="294" t="s">
        <v>542</v>
      </c>
      <c r="C289" s="294" t="s">
        <v>542</v>
      </c>
      <c r="D289" s="295" t="s">
        <v>1046</v>
      </c>
      <c r="E289" s="296">
        <v>12</v>
      </c>
      <c r="F289" s="294">
        <v>3.1</v>
      </c>
      <c r="G289" s="294">
        <v>4</v>
      </c>
      <c r="H289" s="294"/>
      <c r="I289" s="294"/>
      <c r="J289" s="294"/>
      <c r="K289" s="294">
        <f t="shared" si="48"/>
        <v>2.4256000000000002</v>
      </c>
      <c r="L289" s="294">
        <f t="shared" si="46"/>
        <v>0.45229578234542955</v>
      </c>
      <c r="M289" s="297">
        <f t="shared" si="47"/>
        <v>0.91608891196788389</v>
      </c>
      <c r="N289" s="294">
        <v>0</v>
      </c>
      <c r="O289" s="294" t="str">
        <f t="shared" si="44"/>
        <v/>
      </c>
      <c r="P289" s="294"/>
    </row>
    <row r="290" spans="1:16">
      <c r="A290" s="294">
        <v>25</v>
      </c>
      <c r="B290" s="294" t="s">
        <v>543</v>
      </c>
      <c r="C290" s="294" t="s">
        <v>277</v>
      </c>
      <c r="D290" s="295" t="s">
        <v>1041</v>
      </c>
      <c r="E290" s="296">
        <v>1</v>
      </c>
      <c r="F290" s="294">
        <v>0.8</v>
      </c>
      <c r="G290" s="308">
        <f t="shared" ref="G290:G325" si="49">$T$11+$T$12*H290+INDEX($T$13:$T$24,MATCH(E290,$S$13:$S$24,0),1)</f>
        <v>3.0602764900000006</v>
      </c>
      <c r="H290" s="294">
        <v>23.3</v>
      </c>
      <c r="I290" s="306">
        <v>0.64100000000000001</v>
      </c>
      <c r="J290" s="307">
        <v>0.87</v>
      </c>
      <c r="K290" s="294">
        <f t="shared" si="48"/>
        <v>2.4807999999999999</v>
      </c>
      <c r="L290" s="294">
        <f t="shared" si="46"/>
        <v>0.41947006088789601</v>
      </c>
      <c r="M290" s="309">
        <f>$I$290*L290*(G290/K290)+$J$290</f>
        <v>1.2016865883367527</v>
      </c>
      <c r="N290" s="294">
        <v>0</v>
      </c>
      <c r="O290" s="294" t="str">
        <f t="shared" si="44"/>
        <v/>
      </c>
      <c r="P290" s="294">
        <f>AVERAGE(O290:O301)</f>
        <v>4.9288455680484304</v>
      </c>
    </row>
    <row r="291" spans="1:16">
      <c r="A291" s="294"/>
      <c r="B291" s="294" t="s">
        <v>543</v>
      </c>
      <c r="C291" s="294" t="s">
        <v>277</v>
      </c>
      <c r="D291" s="295" t="s">
        <v>1046</v>
      </c>
      <c r="E291" s="296">
        <v>2</v>
      </c>
      <c r="F291" s="294">
        <v>1.6</v>
      </c>
      <c r="G291" s="308">
        <f t="shared" si="49"/>
        <v>7.2785296400000004</v>
      </c>
      <c r="H291" s="294">
        <v>62.8</v>
      </c>
      <c r="I291" s="297"/>
      <c r="J291" s="297"/>
      <c r="K291" s="294">
        <f t="shared" si="48"/>
        <v>2.4615999999999998</v>
      </c>
      <c r="L291" s="294">
        <f t="shared" si="46"/>
        <v>0.4308421081996987</v>
      </c>
      <c r="M291" s="309">
        <f t="shared" ref="M291:M301" si="50">$I$290*L291*(G291/K291)+$J$290</f>
        <v>1.6865867777288399</v>
      </c>
      <c r="N291" s="294">
        <v>0</v>
      </c>
      <c r="O291" s="294" t="str">
        <f t="shared" si="44"/>
        <v/>
      </c>
      <c r="P291" s="294"/>
    </row>
    <row r="292" spans="1:16">
      <c r="A292" s="294"/>
      <c r="B292" s="294" t="s">
        <v>543</v>
      </c>
      <c r="C292" s="294" t="s">
        <v>277</v>
      </c>
      <c r="D292" s="295" t="s">
        <v>1041</v>
      </c>
      <c r="E292" s="296">
        <v>3</v>
      </c>
      <c r="F292" s="294">
        <v>4.5</v>
      </c>
      <c r="G292" s="308">
        <f t="shared" si="49"/>
        <v>11.46019454</v>
      </c>
      <c r="H292" s="294">
        <v>118.8</v>
      </c>
      <c r="I292" s="297"/>
      <c r="J292" s="297"/>
      <c r="K292" s="294">
        <f>2.5-0.024*F292</f>
        <v>2.3919999999999999</v>
      </c>
      <c r="L292" s="294">
        <f t="shared" si="46"/>
        <v>0.47240910985268092</v>
      </c>
      <c r="M292" s="309">
        <f t="shared" si="50"/>
        <v>2.3207985339400294</v>
      </c>
      <c r="N292" s="294">
        <v>0</v>
      </c>
      <c r="O292" s="294" t="str">
        <f t="shared" si="44"/>
        <v/>
      </c>
      <c r="P292" s="294"/>
    </row>
    <row r="293" spans="1:16">
      <c r="A293" s="294"/>
      <c r="B293" s="294" t="s">
        <v>543</v>
      </c>
      <c r="C293" s="294" t="s">
        <v>277</v>
      </c>
      <c r="D293" s="295" t="s">
        <v>1046</v>
      </c>
      <c r="E293" s="296">
        <v>4</v>
      </c>
      <c r="F293" s="294">
        <v>9.6999999999999993</v>
      </c>
      <c r="G293" s="308">
        <f t="shared" si="49"/>
        <v>16.882140939999999</v>
      </c>
      <c r="H293" s="294">
        <v>195.8</v>
      </c>
      <c r="I293" s="297"/>
      <c r="J293" s="297"/>
      <c r="K293" s="294">
        <f t="shared" si="48"/>
        <v>2.2671999999999999</v>
      </c>
      <c r="L293" s="294">
        <f>1/(1.05+1.4*EXP(-0.0604*F293))</f>
        <v>0.54666850117733679</v>
      </c>
      <c r="M293" s="309">
        <f t="shared" si="50"/>
        <v>3.4792744939389215</v>
      </c>
      <c r="N293" s="294">
        <v>0</v>
      </c>
      <c r="O293" s="294" t="str">
        <f t="shared" si="44"/>
        <v/>
      </c>
      <c r="P293" s="294"/>
    </row>
    <row r="294" spans="1:16">
      <c r="A294" s="294"/>
      <c r="B294" s="294" t="s">
        <v>543</v>
      </c>
      <c r="C294" s="294" t="s">
        <v>277</v>
      </c>
      <c r="D294" s="295" t="s">
        <v>1041</v>
      </c>
      <c r="E294" s="296">
        <v>5</v>
      </c>
      <c r="F294" s="294">
        <v>14.6</v>
      </c>
      <c r="G294" s="308">
        <f t="shared" si="49"/>
        <v>21.152016660000001</v>
      </c>
      <c r="H294" s="294">
        <v>250.2</v>
      </c>
      <c r="I294" s="297"/>
      <c r="J294" s="297"/>
      <c r="K294" s="294">
        <f t="shared" si="48"/>
        <v>2.1496</v>
      </c>
      <c r="L294" s="294">
        <f t="shared" si="46"/>
        <v>0.61363675963733433</v>
      </c>
      <c r="M294" s="309">
        <f t="shared" si="50"/>
        <v>4.7404683807717332</v>
      </c>
      <c r="N294" s="294">
        <v>0</v>
      </c>
      <c r="O294" s="294" t="str">
        <f t="shared" si="44"/>
        <v/>
      </c>
      <c r="P294" s="294"/>
    </row>
    <row r="295" spans="1:16">
      <c r="A295" s="294"/>
      <c r="B295" s="294" t="s">
        <v>543</v>
      </c>
      <c r="C295" s="294" t="s">
        <v>277</v>
      </c>
      <c r="D295" s="295" t="s">
        <v>1041</v>
      </c>
      <c r="E295" s="296">
        <v>6</v>
      </c>
      <c r="F295" s="294">
        <v>17.399999999999999</v>
      </c>
      <c r="G295" s="308">
        <f t="shared" si="49"/>
        <v>17.981086909999998</v>
      </c>
      <c r="H295" s="294">
        <v>178.7</v>
      </c>
      <c r="I295" s="297"/>
      <c r="J295" s="297"/>
      <c r="K295" s="294">
        <f t="shared" si="48"/>
        <v>2.0823999999999998</v>
      </c>
      <c r="L295" s="294">
        <f t="shared" si="46"/>
        <v>0.64958569894078666</v>
      </c>
      <c r="M295" s="309">
        <f t="shared" si="50"/>
        <v>4.4653921811959618</v>
      </c>
      <c r="N295" s="294">
        <v>0</v>
      </c>
      <c r="O295" s="294" t="str">
        <f t="shared" si="44"/>
        <v/>
      </c>
      <c r="P295" s="294"/>
    </row>
    <row r="296" spans="1:16">
      <c r="A296" s="294"/>
      <c r="B296" s="294" t="s">
        <v>543</v>
      </c>
      <c r="C296" s="294" t="s">
        <v>277</v>
      </c>
      <c r="D296" s="295" t="s">
        <v>1046</v>
      </c>
      <c r="E296" s="296">
        <v>7</v>
      </c>
      <c r="F296" s="294">
        <v>21.7</v>
      </c>
      <c r="G296" s="308">
        <f t="shared" si="49"/>
        <v>17.889889150000002</v>
      </c>
      <c r="H296" s="294">
        <v>185.5</v>
      </c>
      <c r="I296" s="297"/>
      <c r="J296" s="297"/>
      <c r="K296" s="294">
        <f t="shared" si="48"/>
        <v>1.9792000000000001</v>
      </c>
      <c r="L296" s="294">
        <f t="shared" si="46"/>
        <v>0.70052966467044631</v>
      </c>
      <c r="M296" s="309">
        <f t="shared" si="50"/>
        <v>4.9288455680484304</v>
      </c>
      <c r="N296" s="294">
        <v>1</v>
      </c>
      <c r="O296" s="294">
        <f t="shared" si="44"/>
        <v>4.9288455680484304</v>
      </c>
      <c r="P296" s="294"/>
    </row>
    <row r="297" spans="1:16">
      <c r="A297" s="294"/>
      <c r="B297" s="294" t="s">
        <v>543</v>
      </c>
      <c r="C297" s="294" t="s">
        <v>277</v>
      </c>
      <c r="D297" s="295" t="s">
        <v>1041</v>
      </c>
      <c r="E297" s="296">
        <v>8</v>
      </c>
      <c r="F297" s="294">
        <v>23.2</v>
      </c>
      <c r="G297" s="308">
        <f t="shared" si="49"/>
        <v>17.320132780000002</v>
      </c>
      <c r="H297" s="294">
        <v>189.6</v>
      </c>
      <c r="I297" s="297"/>
      <c r="J297" s="297"/>
      <c r="K297" s="294">
        <f t="shared" si="48"/>
        <v>1.9432</v>
      </c>
      <c r="L297" s="294">
        <f t="shared" si="46"/>
        <v>0.71695168352445504</v>
      </c>
      <c r="M297" s="309">
        <f t="shared" si="50"/>
        <v>4.966204531632294</v>
      </c>
      <c r="N297" s="294">
        <v>0</v>
      </c>
      <c r="O297" s="294" t="str">
        <f t="shared" si="44"/>
        <v/>
      </c>
      <c r="P297" s="294"/>
    </row>
    <row r="298" spans="1:16">
      <c r="A298" s="294"/>
      <c r="B298" s="294" t="s">
        <v>543</v>
      </c>
      <c r="C298" s="294" t="s">
        <v>277</v>
      </c>
      <c r="D298" s="295" t="s">
        <v>1046</v>
      </c>
      <c r="E298" s="296">
        <v>9</v>
      </c>
      <c r="F298" s="294">
        <v>18.600000000000001</v>
      </c>
      <c r="G298" s="308">
        <f t="shared" si="49"/>
        <v>13.511058909999999</v>
      </c>
      <c r="H298" s="294">
        <v>144.69999999999999</v>
      </c>
      <c r="I298" s="297"/>
      <c r="J298" s="297"/>
      <c r="K298" s="294">
        <f t="shared" si="48"/>
        <v>2.0535999999999999</v>
      </c>
      <c r="L298" s="294">
        <f t="shared" si="46"/>
        <v>0.66435336670543088</v>
      </c>
      <c r="M298" s="309">
        <f t="shared" si="50"/>
        <v>3.6717585222183073</v>
      </c>
      <c r="N298" s="294">
        <v>0</v>
      </c>
      <c r="O298" s="294" t="str">
        <f t="shared" si="44"/>
        <v/>
      </c>
      <c r="P298" s="294"/>
    </row>
    <row r="299" spans="1:16">
      <c r="A299" s="294"/>
      <c r="B299" s="294" t="s">
        <v>543</v>
      </c>
      <c r="C299" s="294" t="s">
        <v>277</v>
      </c>
      <c r="D299" s="295" t="s">
        <v>1041</v>
      </c>
      <c r="E299" s="296">
        <v>10</v>
      </c>
      <c r="F299" s="294">
        <v>12.5</v>
      </c>
      <c r="G299" s="308">
        <f t="shared" si="49"/>
        <v>9.9773019599999984</v>
      </c>
      <c r="H299" s="294">
        <v>133.19999999999999</v>
      </c>
      <c r="I299" s="297"/>
      <c r="J299" s="297"/>
      <c r="K299" s="294">
        <f t="shared" si="48"/>
        <v>2.2000000000000002</v>
      </c>
      <c r="L299" s="294">
        <f t="shared" si="46"/>
        <v>0.58547499969373429</v>
      </c>
      <c r="M299" s="309">
        <f t="shared" si="50"/>
        <v>2.5719892784209835</v>
      </c>
      <c r="N299" s="294">
        <v>0</v>
      </c>
      <c r="O299" s="294" t="str">
        <f t="shared" si="44"/>
        <v/>
      </c>
      <c r="P299" s="294"/>
    </row>
    <row r="300" spans="1:16">
      <c r="A300" s="294"/>
      <c r="B300" s="294" t="s">
        <v>543</v>
      </c>
      <c r="C300" s="294" t="s">
        <v>277</v>
      </c>
      <c r="D300" s="295" t="s">
        <v>1041</v>
      </c>
      <c r="E300" s="296">
        <v>11</v>
      </c>
      <c r="F300" s="294">
        <v>8.8000000000000007</v>
      </c>
      <c r="G300" s="308">
        <f t="shared" si="49"/>
        <v>5.5160199900000002</v>
      </c>
      <c r="H300" s="294">
        <v>64.3</v>
      </c>
      <c r="I300" s="297"/>
      <c r="J300" s="297"/>
      <c r="K300" s="294">
        <f t="shared" si="48"/>
        <v>2.2888000000000002</v>
      </c>
      <c r="L300" s="294">
        <f t="shared" si="46"/>
        <v>0.5339611698231046</v>
      </c>
      <c r="M300" s="309">
        <f t="shared" si="50"/>
        <v>1.6948703477492866</v>
      </c>
      <c r="N300" s="294">
        <v>0</v>
      </c>
      <c r="O300" s="294" t="str">
        <f t="shared" si="44"/>
        <v/>
      </c>
      <c r="P300" s="294"/>
    </row>
    <row r="301" spans="1:16">
      <c r="A301" s="294"/>
      <c r="B301" s="294" t="s">
        <v>543</v>
      </c>
      <c r="C301" s="294" t="s">
        <v>277</v>
      </c>
      <c r="D301" s="295" t="s">
        <v>1041</v>
      </c>
      <c r="E301" s="296">
        <v>12</v>
      </c>
      <c r="F301" s="294">
        <v>4.0999999999999996</v>
      </c>
      <c r="G301" s="308">
        <f t="shared" si="49"/>
        <v>2.9827171699999999</v>
      </c>
      <c r="H301" s="294">
        <v>36.9</v>
      </c>
      <c r="I301" s="297"/>
      <c r="J301" s="297"/>
      <c r="K301" s="294">
        <f t="shared" si="48"/>
        <v>2.4016000000000002</v>
      </c>
      <c r="L301" s="294">
        <f t="shared" si="46"/>
        <v>0.46665792306441634</v>
      </c>
      <c r="M301" s="309">
        <f t="shared" si="50"/>
        <v>1.2415079165430278</v>
      </c>
      <c r="N301" s="294">
        <v>0</v>
      </c>
      <c r="O301" s="294" t="str">
        <f t="shared" si="44"/>
        <v/>
      </c>
      <c r="P301" s="294"/>
    </row>
    <row r="302" spans="1:16">
      <c r="A302" s="294">
        <v>26</v>
      </c>
      <c r="B302" s="294" t="s">
        <v>543</v>
      </c>
      <c r="C302" s="294" t="s">
        <v>544</v>
      </c>
      <c r="D302" s="295" t="s">
        <v>1041</v>
      </c>
      <c r="E302" s="296">
        <v>1</v>
      </c>
      <c r="F302" s="294">
        <v>-0.2</v>
      </c>
      <c r="G302" s="308">
        <f t="shared" si="49"/>
        <v>5.0540218300000008</v>
      </c>
      <c r="H302" s="294">
        <v>67.099999999999994</v>
      </c>
      <c r="I302" s="306">
        <v>0.69699999999999995</v>
      </c>
      <c r="J302" s="307">
        <v>0.53</v>
      </c>
      <c r="K302" s="294">
        <f t="shared" si="48"/>
        <v>2.5047999999999999</v>
      </c>
      <c r="L302" s="294">
        <f t="shared" si="46"/>
        <v>0.40534823579524998</v>
      </c>
      <c r="M302" s="309">
        <f>$I$302*L302*(G302/K302)+$J$302</f>
        <v>1.100065979808944</v>
      </c>
      <c r="N302" s="294">
        <v>0</v>
      </c>
      <c r="O302" s="294" t="str">
        <f t="shared" si="44"/>
        <v/>
      </c>
      <c r="P302" s="294">
        <f>AVERAGE(O302:O313)</f>
        <v>4.7025103418056444</v>
      </c>
    </row>
    <row r="303" spans="1:16">
      <c r="A303" s="294"/>
      <c r="B303" s="294" t="s">
        <v>543</v>
      </c>
      <c r="C303" s="294" t="s">
        <v>544</v>
      </c>
      <c r="D303" s="295" t="s">
        <v>1041</v>
      </c>
      <c r="E303" s="296">
        <v>2</v>
      </c>
      <c r="F303" s="294">
        <v>0.8</v>
      </c>
      <c r="G303" s="308">
        <f t="shared" si="49"/>
        <v>9.4953195499999996</v>
      </c>
      <c r="H303" s="294">
        <v>111.5</v>
      </c>
      <c r="I303" s="297"/>
      <c r="J303" s="297"/>
      <c r="K303" s="294">
        <f t="shared" si="48"/>
        <v>2.4807999999999999</v>
      </c>
      <c r="L303" s="294">
        <f t="shared" si="46"/>
        <v>0.41947006088789601</v>
      </c>
      <c r="M303" s="309">
        <f t="shared" ref="M303:M313" si="51">$I$302*L303*(G303/K303)+$J$302</f>
        <v>1.6490553781210113</v>
      </c>
      <c r="N303" s="294">
        <v>0</v>
      </c>
      <c r="O303" s="294" t="str">
        <f t="shared" si="44"/>
        <v/>
      </c>
      <c r="P303" s="294"/>
    </row>
    <row r="304" spans="1:16">
      <c r="A304" s="294"/>
      <c r="B304" s="294" t="s">
        <v>543</v>
      </c>
      <c r="C304" s="294" t="s">
        <v>544</v>
      </c>
      <c r="D304" s="295" t="s">
        <v>1041</v>
      </c>
      <c r="E304" s="296">
        <v>3</v>
      </c>
      <c r="F304" s="294">
        <v>4.3</v>
      </c>
      <c r="G304" s="308">
        <f t="shared" si="49"/>
        <v>12.62548862</v>
      </c>
      <c r="H304" s="294">
        <v>144.4</v>
      </c>
      <c r="I304" s="297"/>
      <c r="J304" s="297"/>
      <c r="K304" s="294">
        <f t="shared" si="48"/>
        <v>2.3967999999999998</v>
      </c>
      <c r="L304" s="294">
        <f t="shared" si="46"/>
        <v>0.46953327364651853</v>
      </c>
      <c r="M304" s="309">
        <f t="shared" si="51"/>
        <v>2.2539138189191501</v>
      </c>
      <c r="N304" s="294">
        <v>0</v>
      </c>
      <c r="O304" s="294" t="str">
        <f t="shared" si="44"/>
        <v/>
      </c>
      <c r="P304" s="294"/>
    </row>
    <row r="305" spans="1:16">
      <c r="A305" s="294"/>
      <c r="B305" s="294" t="s">
        <v>543</v>
      </c>
      <c r="C305" s="294" t="s">
        <v>544</v>
      </c>
      <c r="D305" s="295" t="s">
        <v>1041</v>
      </c>
      <c r="E305" s="296">
        <v>4</v>
      </c>
      <c r="F305" s="294">
        <v>8.9</v>
      </c>
      <c r="G305" s="308">
        <f t="shared" si="49"/>
        <v>16.8457255</v>
      </c>
      <c r="H305" s="294">
        <v>195</v>
      </c>
      <c r="I305" s="297"/>
      <c r="J305" s="297"/>
      <c r="K305" s="294">
        <f t="shared" si="48"/>
        <v>2.2864</v>
      </c>
      <c r="L305" s="294">
        <f t="shared" si="46"/>
        <v>0.53537757568270028</v>
      </c>
      <c r="M305" s="309">
        <f t="shared" si="51"/>
        <v>3.2793527397340592</v>
      </c>
      <c r="N305" s="294">
        <v>0</v>
      </c>
      <c r="O305" s="294" t="str">
        <f t="shared" si="44"/>
        <v/>
      </c>
      <c r="P305" s="294"/>
    </row>
    <row r="306" spans="1:16">
      <c r="A306" s="294"/>
      <c r="B306" s="294" t="s">
        <v>543</v>
      </c>
      <c r="C306" s="294" t="s">
        <v>544</v>
      </c>
      <c r="D306" s="295" t="s">
        <v>1046</v>
      </c>
      <c r="E306" s="296">
        <v>5</v>
      </c>
      <c r="F306" s="294">
        <v>13.9</v>
      </c>
      <c r="G306" s="308">
        <f t="shared" si="49"/>
        <v>21.402372809999999</v>
      </c>
      <c r="H306" s="294">
        <v>255.7</v>
      </c>
      <c r="I306" s="297"/>
      <c r="J306" s="297"/>
      <c r="K306" s="294">
        <f t="shared" si="48"/>
        <v>2.1663999999999999</v>
      </c>
      <c r="L306" s="294">
        <f t="shared" si="46"/>
        <v>0.60435349971924368</v>
      </c>
      <c r="M306" s="309">
        <f t="shared" si="51"/>
        <v>4.691473153749806</v>
      </c>
      <c r="N306" s="294">
        <v>0</v>
      </c>
      <c r="O306" s="294" t="str">
        <f t="shared" si="44"/>
        <v/>
      </c>
      <c r="P306" s="294"/>
    </row>
    <row r="307" spans="1:16">
      <c r="A307" s="294"/>
      <c r="B307" s="294" t="s">
        <v>543</v>
      </c>
      <c r="C307" s="294" t="s">
        <v>544</v>
      </c>
      <c r="D307" s="295" t="s">
        <v>1041</v>
      </c>
      <c r="E307" s="296">
        <v>6</v>
      </c>
      <c r="F307" s="294">
        <v>16.3</v>
      </c>
      <c r="G307" s="308">
        <f t="shared" si="49"/>
        <v>17.398439870000001</v>
      </c>
      <c r="H307" s="294">
        <v>165.9</v>
      </c>
      <c r="I307" s="297"/>
      <c r="J307" s="297"/>
      <c r="K307" s="294">
        <f t="shared" si="48"/>
        <v>2.1088</v>
      </c>
      <c r="L307" s="294">
        <f t="shared" si="46"/>
        <v>0.63570126432395468</v>
      </c>
      <c r="M307" s="309">
        <f t="shared" si="51"/>
        <v>4.1856176617832137</v>
      </c>
      <c r="N307" s="294">
        <v>0</v>
      </c>
      <c r="O307" s="294" t="str">
        <f t="shared" si="44"/>
        <v/>
      </c>
      <c r="P307" s="294"/>
    </row>
    <row r="308" spans="1:16">
      <c r="A308" s="294"/>
      <c r="B308" s="294" t="s">
        <v>543</v>
      </c>
      <c r="C308" s="294" t="s">
        <v>544</v>
      </c>
      <c r="D308" s="295" t="s">
        <v>1041</v>
      </c>
      <c r="E308" s="296">
        <v>7</v>
      </c>
      <c r="F308" s="294">
        <v>21.4</v>
      </c>
      <c r="G308" s="308">
        <f t="shared" si="49"/>
        <v>17.056885959999999</v>
      </c>
      <c r="H308" s="294">
        <v>167.2</v>
      </c>
      <c r="I308" s="297"/>
      <c r="J308" s="297"/>
      <c r="K308" s="294">
        <f t="shared" si="48"/>
        <v>1.9864000000000002</v>
      </c>
      <c r="L308" s="294">
        <f t="shared" si="46"/>
        <v>0.69715862454510524</v>
      </c>
      <c r="M308" s="309">
        <f t="shared" si="51"/>
        <v>4.7025103418056444</v>
      </c>
      <c r="N308" s="294">
        <v>1</v>
      </c>
      <c r="O308" s="294">
        <f t="shared" si="44"/>
        <v>4.7025103418056444</v>
      </c>
      <c r="P308" s="294"/>
    </row>
    <row r="309" spans="1:16">
      <c r="A309" s="294"/>
      <c r="B309" s="294" t="s">
        <v>543</v>
      </c>
      <c r="C309" s="294" t="s">
        <v>544</v>
      </c>
      <c r="D309" s="295" t="s">
        <v>1041</v>
      </c>
      <c r="E309" s="296">
        <v>8</v>
      </c>
      <c r="F309" s="294">
        <v>21.7</v>
      </c>
      <c r="G309" s="308">
        <f t="shared" si="49"/>
        <v>13.410024909999999</v>
      </c>
      <c r="H309" s="294">
        <v>103.7</v>
      </c>
      <c r="I309" s="297"/>
      <c r="J309" s="297"/>
      <c r="K309" s="294">
        <f t="shared" si="48"/>
        <v>1.9792000000000001</v>
      </c>
      <c r="L309" s="294">
        <f t="shared" si="46"/>
        <v>0.70052966467044631</v>
      </c>
      <c r="M309" s="309">
        <f t="shared" si="51"/>
        <v>3.8382567788181934</v>
      </c>
      <c r="N309" s="294">
        <v>0</v>
      </c>
      <c r="O309" s="294" t="str">
        <f t="shared" si="44"/>
        <v/>
      </c>
      <c r="P309" s="294"/>
    </row>
    <row r="310" spans="1:16">
      <c r="A310" s="294"/>
      <c r="B310" s="294" t="s">
        <v>543</v>
      </c>
      <c r="C310" s="294" t="s">
        <v>544</v>
      </c>
      <c r="D310" s="295" t="s">
        <v>1041</v>
      </c>
      <c r="E310" s="296">
        <v>9</v>
      </c>
      <c r="F310" s="294">
        <v>17.899999999999999</v>
      </c>
      <c r="G310" s="308">
        <f t="shared" si="49"/>
        <v>13.42457224</v>
      </c>
      <c r="H310" s="294">
        <v>142.80000000000001</v>
      </c>
      <c r="I310" s="297"/>
      <c r="J310" s="297"/>
      <c r="K310" s="294">
        <f t="shared" si="48"/>
        <v>2.0704000000000002</v>
      </c>
      <c r="L310" s="294">
        <f t="shared" si="46"/>
        <v>0.6557882102782896</v>
      </c>
      <c r="M310" s="309">
        <f t="shared" si="51"/>
        <v>3.4937569134011701</v>
      </c>
      <c r="N310" s="294">
        <v>0</v>
      </c>
      <c r="O310" s="294" t="str">
        <f t="shared" si="44"/>
        <v/>
      </c>
      <c r="P310" s="294"/>
    </row>
    <row r="311" spans="1:16">
      <c r="A311" s="294"/>
      <c r="B311" s="294" t="s">
        <v>543</v>
      </c>
      <c r="C311" s="294" t="s">
        <v>544</v>
      </c>
      <c r="D311" s="295" t="s">
        <v>1041</v>
      </c>
      <c r="E311" s="296">
        <v>10</v>
      </c>
      <c r="F311" s="294">
        <v>11.4</v>
      </c>
      <c r="G311" s="308">
        <f t="shared" si="49"/>
        <v>11.49764658</v>
      </c>
      <c r="H311" s="294">
        <v>166.6</v>
      </c>
      <c r="I311" s="297"/>
      <c r="J311" s="297"/>
      <c r="K311" s="294">
        <f t="shared" si="48"/>
        <v>2.2263999999999999</v>
      </c>
      <c r="L311" s="294">
        <f t="shared" si="46"/>
        <v>0.57037959366923263</v>
      </c>
      <c r="M311" s="309">
        <f t="shared" si="51"/>
        <v>2.5830641484745014</v>
      </c>
      <c r="N311" s="294">
        <v>0</v>
      </c>
      <c r="O311" s="294" t="str">
        <f t="shared" si="44"/>
        <v/>
      </c>
      <c r="P311" s="294"/>
    </row>
    <row r="312" spans="1:16">
      <c r="A312" s="294"/>
      <c r="B312" s="294" t="s">
        <v>543</v>
      </c>
      <c r="C312" s="294" t="s">
        <v>544</v>
      </c>
      <c r="D312" s="295" t="s">
        <v>1041</v>
      </c>
      <c r="E312" s="296">
        <v>11</v>
      </c>
      <c r="F312" s="294">
        <v>8.1</v>
      </c>
      <c r="G312" s="308">
        <f t="shared" si="49"/>
        <v>6.9089105699999998</v>
      </c>
      <c r="H312" s="294">
        <v>94.9</v>
      </c>
      <c r="I312" s="297"/>
      <c r="J312" s="297"/>
      <c r="K312" s="294">
        <f t="shared" si="48"/>
        <v>2.3056000000000001</v>
      </c>
      <c r="L312" s="294">
        <f t="shared" si="46"/>
        <v>0.52401864779616036</v>
      </c>
      <c r="M312" s="309">
        <f t="shared" si="51"/>
        <v>1.624473190632066</v>
      </c>
      <c r="N312" s="294">
        <v>0</v>
      </c>
      <c r="O312" s="294" t="str">
        <f t="shared" si="44"/>
        <v/>
      </c>
      <c r="P312" s="294"/>
    </row>
    <row r="313" spans="1:16">
      <c r="A313" s="294"/>
      <c r="B313" s="294" t="s">
        <v>543</v>
      </c>
      <c r="C313" s="294" t="s">
        <v>544</v>
      </c>
      <c r="D313" s="295" t="s">
        <v>1041</v>
      </c>
      <c r="E313" s="296">
        <v>12</v>
      </c>
      <c r="F313" s="294">
        <v>2.7</v>
      </c>
      <c r="G313" s="308">
        <f t="shared" si="49"/>
        <v>4.7761775899999988</v>
      </c>
      <c r="H313" s="294">
        <v>76.3</v>
      </c>
      <c r="I313" s="297"/>
      <c r="J313" s="297"/>
      <c r="K313" s="294">
        <f t="shared" si="48"/>
        <v>2.4352</v>
      </c>
      <c r="L313" s="294">
        <f t="shared" si="46"/>
        <v>0.44656164014408606</v>
      </c>
      <c r="M313" s="309">
        <f t="shared" si="51"/>
        <v>1.1404639518939921</v>
      </c>
      <c r="N313" s="294">
        <v>0</v>
      </c>
      <c r="O313" s="294" t="str">
        <f t="shared" si="44"/>
        <v/>
      </c>
      <c r="P313" s="294"/>
    </row>
    <row r="314" spans="1:16">
      <c r="A314" s="294">
        <v>27</v>
      </c>
      <c r="B314" s="294" t="s">
        <v>543</v>
      </c>
      <c r="C314" s="294" t="s">
        <v>280</v>
      </c>
      <c r="D314" s="295" t="s">
        <v>1041</v>
      </c>
      <c r="E314" s="296">
        <v>1</v>
      </c>
      <c r="F314" s="294">
        <v>0.3</v>
      </c>
      <c r="G314" s="308">
        <f t="shared" si="49"/>
        <v>6.5880222399999999</v>
      </c>
      <c r="H314" s="294">
        <v>100.8</v>
      </c>
      <c r="I314" s="306">
        <v>0.73199999999999998</v>
      </c>
      <c r="J314" s="307">
        <v>0.37</v>
      </c>
      <c r="K314" s="294">
        <f t="shared" si="48"/>
        <v>2.4927999999999999</v>
      </c>
      <c r="L314" s="294">
        <f t="shared" si="46"/>
        <v>0.41239486549182131</v>
      </c>
      <c r="M314" s="309">
        <f>$I$314*L314*(G314/K314)+$J$314</f>
        <v>1.1677961775200782</v>
      </c>
      <c r="N314" s="294">
        <v>0</v>
      </c>
      <c r="O314" s="294" t="str">
        <f t="shared" si="44"/>
        <v/>
      </c>
      <c r="P314" s="294">
        <f>AVERAGE(O314:O325)</f>
        <v>4.8515136532477419</v>
      </c>
    </row>
    <row r="315" spans="1:16">
      <c r="A315" s="294"/>
      <c r="B315" s="294" t="s">
        <v>543</v>
      </c>
      <c r="C315" s="294" t="s">
        <v>280</v>
      </c>
      <c r="D315" s="295" t="s">
        <v>1046</v>
      </c>
      <c r="E315" s="296">
        <v>2</v>
      </c>
      <c r="F315" s="294">
        <v>1.2</v>
      </c>
      <c r="G315" s="308">
        <f t="shared" si="49"/>
        <v>9.3086904199999996</v>
      </c>
      <c r="H315" s="294">
        <v>107.4</v>
      </c>
      <c r="I315" s="297"/>
      <c r="J315" s="297"/>
      <c r="K315" s="294">
        <f t="shared" si="48"/>
        <v>2.4712000000000001</v>
      </c>
      <c r="L315" s="294">
        <f t="shared" si="46"/>
        <v>0.42514872248376501</v>
      </c>
      <c r="M315" s="309">
        <f t="shared" ref="M315:M325" si="52">$I$314*L315*(G315/K315)+$J$314</f>
        <v>1.5422834974602697</v>
      </c>
      <c r="N315" s="294">
        <v>0</v>
      </c>
      <c r="O315" s="294" t="str">
        <f t="shared" si="44"/>
        <v/>
      </c>
      <c r="P315" s="294"/>
    </row>
    <row r="316" spans="1:16">
      <c r="A316" s="294"/>
      <c r="B316" s="294" t="s">
        <v>543</v>
      </c>
      <c r="C316" s="294" t="s">
        <v>280</v>
      </c>
      <c r="D316" s="295" t="s">
        <v>1041</v>
      </c>
      <c r="E316" s="296">
        <v>3</v>
      </c>
      <c r="F316" s="294">
        <v>4.9000000000000004</v>
      </c>
      <c r="G316" s="308">
        <f t="shared" si="49"/>
        <v>13.731607610000001</v>
      </c>
      <c r="H316" s="294">
        <v>168.7</v>
      </c>
      <c r="I316" s="297"/>
      <c r="J316" s="297"/>
      <c r="K316" s="294">
        <f t="shared" si="48"/>
        <v>2.3824000000000001</v>
      </c>
      <c r="L316" s="294">
        <f t="shared" si="46"/>
        <v>0.47816140006637126</v>
      </c>
      <c r="M316" s="309">
        <f t="shared" si="52"/>
        <v>2.3874013159043215</v>
      </c>
      <c r="N316" s="294">
        <v>0</v>
      </c>
      <c r="O316" s="294" t="str">
        <f t="shared" si="44"/>
        <v/>
      </c>
      <c r="P316" s="294"/>
    </row>
    <row r="317" spans="1:16">
      <c r="A317" s="294"/>
      <c r="B317" s="294" t="s">
        <v>543</v>
      </c>
      <c r="C317" s="294" t="s">
        <v>280</v>
      </c>
      <c r="D317" s="295" t="s">
        <v>1041</v>
      </c>
      <c r="E317" s="296">
        <v>4</v>
      </c>
      <c r="F317" s="294">
        <v>9.9</v>
      </c>
      <c r="G317" s="308">
        <f t="shared" si="49"/>
        <v>17.04145849</v>
      </c>
      <c r="H317" s="294">
        <v>199.3</v>
      </c>
      <c r="I317" s="297"/>
      <c r="J317" s="297"/>
      <c r="K317" s="294">
        <f t="shared" si="48"/>
        <v>2.2624</v>
      </c>
      <c r="L317" s="294">
        <f t="shared" si="46"/>
        <v>0.54947914156562316</v>
      </c>
      <c r="M317" s="309">
        <f t="shared" si="52"/>
        <v>3.3997002382008246</v>
      </c>
      <c r="N317" s="294">
        <v>0</v>
      </c>
      <c r="O317" s="294" t="str">
        <f t="shared" si="44"/>
        <v/>
      </c>
      <c r="P317" s="294"/>
    </row>
    <row r="318" spans="1:16">
      <c r="A318" s="294"/>
      <c r="B318" s="294" t="s">
        <v>543</v>
      </c>
      <c r="C318" s="294" t="s">
        <v>280</v>
      </c>
      <c r="D318" s="295" t="s">
        <v>1041</v>
      </c>
      <c r="E318" s="296">
        <v>5</v>
      </c>
      <c r="F318" s="294">
        <v>15.3</v>
      </c>
      <c r="G318" s="308">
        <f t="shared" si="49"/>
        <v>21.247607190000004</v>
      </c>
      <c r="H318" s="294">
        <v>252.3</v>
      </c>
      <c r="I318" s="297"/>
      <c r="J318" s="297"/>
      <c r="K318" s="294">
        <f t="shared" si="48"/>
        <v>2.1328</v>
      </c>
      <c r="L318" s="294">
        <f t="shared" si="46"/>
        <v>0.62280743428728291</v>
      </c>
      <c r="M318" s="309">
        <f t="shared" si="52"/>
        <v>4.9117661150241387</v>
      </c>
      <c r="N318" s="294">
        <v>0</v>
      </c>
      <c r="O318" s="294" t="str">
        <f t="shared" si="44"/>
        <v/>
      </c>
      <c r="P318" s="294"/>
    </row>
    <row r="319" spans="1:16">
      <c r="A319" s="294"/>
      <c r="B319" s="294" t="s">
        <v>543</v>
      </c>
      <c r="C319" s="294" t="s">
        <v>280</v>
      </c>
      <c r="D319" s="295" t="s">
        <v>1046</v>
      </c>
      <c r="E319" s="296">
        <v>6</v>
      </c>
      <c r="F319" s="294">
        <v>17.2</v>
      </c>
      <c r="G319" s="308">
        <f t="shared" si="49"/>
        <v>18.413520259999999</v>
      </c>
      <c r="H319" s="294">
        <v>188.2</v>
      </c>
      <c r="I319" s="297"/>
      <c r="J319" s="297"/>
      <c r="K319" s="294">
        <f t="shared" si="48"/>
        <v>2.0872000000000002</v>
      </c>
      <c r="L319" s="294">
        <f t="shared" si="46"/>
        <v>0.64708539575733404</v>
      </c>
      <c r="M319" s="309">
        <f t="shared" si="52"/>
        <v>4.5487408359240797</v>
      </c>
      <c r="N319" s="294">
        <v>0</v>
      </c>
      <c r="O319" s="294" t="str">
        <f t="shared" si="44"/>
        <v/>
      </c>
      <c r="P319" s="294"/>
    </row>
    <row r="320" spans="1:16">
      <c r="A320" s="294"/>
      <c r="B320" s="294" t="s">
        <v>543</v>
      </c>
      <c r="C320" s="294" t="s">
        <v>280</v>
      </c>
      <c r="D320" s="295" t="s">
        <v>1046</v>
      </c>
      <c r="E320" s="296">
        <v>7</v>
      </c>
      <c r="F320" s="294">
        <v>22</v>
      </c>
      <c r="G320" s="308">
        <f t="shared" si="49"/>
        <v>17.152476489999998</v>
      </c>
      <c r="H320" s="294">
        <v>169.3</v>
      </c>
      <c r="I320" s="297"/>
      <c r="J320" s="297"/>
      <c r="K320" s="294">
        <f t="shared" si="48"/>
        <v>1.972</v>
      </c>
      <c r="L320" s="294">
        <f t="shared" si="46"/>
        <v>0.70387205081416948</v>
      </c>
      <c r="M320" s="309">
        <f t="shared" si="52"/>
        <v>4.8515136532477419</v>
      </c>
      <c r="N320" s="294">
        <v>1</v>
      </c>
      <c r="O320" s="294">
        <f t="shared" si="44"/>
        <v>4.8515136532477419</v>
      </c>
      <c r="P320" s="294"/>
    </row>
    <row r="321" spans="1:16">
      <c r="A321" s="294"/>
      <c r="B321" s="294" t="s">
        <v>543</v>
      </c>
      <c r="C321" s="294" t="s">
        <v>280</v>
      </c>
      <c r="D321" s="295" t="s">
        <v>1041</v>
      </c>
      <c r="E321" s="296">
        <v>8</v>
      </c>
      <c r="F321" s="294">
        <v>22.3</v>
      </c>
      <c r="G321" s="308">
        <f t="shared" si="49"/>
        <v>14.438761089999998</v>
      </c>
      <c r="H321" s="294">
        <v>126.3</v>
      </c>
      <c r="I321" s="297"/>
      <c r="J321" s="297"/>
      <c r="K321" s="294">
        <f t="shared" si="48"/>
        <v>1.9647999999999999</v>
      </c>
      <c r="L321" s="294">
        <f t="shared" si="46"/>
        <v>0.70718560508058281</v>
      </c>
      <c r="M321" s="309">
        <f t="shared" si="52"/>
        <v>4.1741363429200922</v>
      </c>
      <c r="N321" s="294">
        <v>0</v>
      </c>
      <c r="O321" s="294" t="str">
        <f t="shared" si="44"/>
        <v/>
      </c>
      <c r="P321" s="294"/>
    </row>
    <row r="322" spans="1:16">
      <c r="A322" s="294"/>
      <c r="B322" s="294" t="s">
        <v>543</v>
      </c>
      <c r="C322" s="294" t="s">
        <v>280</v>
      </c>
      <c r="D322" s="295" t="s">
        <v>1046</v>
      </c>
      <c r="E322" s="296">
        <v>9</v>
      </c>
      <c r="F322" s="294">
        <v>18.600000000000001</v>
      </c>
      <c r="G322" s="308">
        <f t="shared" si="49"/>
        <v>13.643064879999999</v>
      </c>
      <c r="H322" s="294">
        <v>147.6</v>
      </c>
      <c r="I322" s="297"/>
      <c r="J322" s="297"/>
      <c r="K322" s="294">
        <f t="shared" si="48"/>
        <v>2.0535999999999999</v>
      </c>
      <c r="L322" s="294">
        <f t="shared" si="46"/>
        <v>0.66435336670543088</v>
      </c>
      <c r="M322" s="309">
        <f t="shared" si="52"/>
        <v>3.6007719976493542</v>
      </c>
      <c r="N322" s="294">
        <v>0</v>
      </c>
      <c r="O322" s="294" t="str">
        <f t="shared" ref="O322:O385" si="53">IF(N322*M322=0,"",N322*M322)</f>
        <v/>
      </c>
      <c r="P322" s="294"/>
    </row>
    <row r="323" spans="1:16">
      <c r="A323" s="294"/>
      <c r="B323" s="294" t="s">
        <v>543</v>
      </c>
      <c r="C323" s="294" t="s">
        <v>280</v>
      </c>
      <c r="D323" s="295" t="s">
        <v>1041</v>
      </c>
      <c r="E323" s="296">
        <v>10</v>
      </c>
      <c r="F323" s="294">
        <v>12.2</v>
      </c>
      <c r="G323" s="308">
        <f t="shared" si="49"/>
        <v>12.266922749999999</v>
      </c>
      <c r="H323" s="294">
        <v>183.5</v>
      </c>
      <c r="I323" s="297"/>
      <c r="J323" s="297"/>
      <c r="K323" s="294">
        <f t="shared" si="48"/>
        <v>2.2071999999999998</v>
      </c>
      <c r="L323" s="294">
        <f t="shared" si="46"/>
        <v>0.58137954011732995</v>
      </c>
      <c r="M323" s="309">
        <f t="shared" si="52"/>
        <v>2.7351831043677342</v>
      </c>
      <c r="N323" s="294">
        <v>0</v>
      </c>
      <c r="O323" s="294" t="str">
        <f t="shared" si="53"/>
        <v/>
      </c>
      <c r="P323" s="294"/>
    </row>
    <row r="324" spans="1:16">
      <c r="A324" s="294"/>
      <c r="B324" s="294" t="s">
        <v>543</v>
      </c>
      <c r="C324" s="294" t="s">
        <v>280</v>
      </c>
      <c r="D324" s="295" t="s">
        <v>1041</v>
      </c>
      <c r="E324" s="296">
        <v>11</v>
      </c>
      <c r="F324" s="294">
        <v>8.1</v>
      </c>
      <c r="G324" s="308">
        <f t="shared" si="49"/>
        <v>7.2867207599999997</v>
      </c>
      <c r="H324" s="294">
        <v>103.2</v>
      </c>
      <c r="I324" s="297"/>
      <c r="J324" s="297"/>
      <c r="K324" s="294">
        <f t="shared" si="48"/>
        <v>2.3056000000000001</v>
      </c>
      <c r="L324" s="294">
        <f t="shared" si="46"/>
        <v>0.52401864779616036</v>
      </c>
      <c r="M324" s="309">
        <f t="shared" si="52"/>
        <v>1.5822885034572933</v>
      </c>
      <c r="N324" s="294">
        <v>0</v>
      </c>
      <c r="O324" s="294" t="str">
        <f t="shared" si="53"/>
        <v/>
      </c>
      <c r="P324" s="294"/>
    </row>
    <row r="325" spans="1:16">
      <c r="A325" s="294"/>
      <c r="B325" s="294" t="s">
        <v>543</v>
      </c>
      <c r="C325" s="294" t="s">
        <v>280</v>
      </c>
      <c r="D325" s="295" t="s">
        <v>1041</v>
      </c>
      <c r="E325" s="296">
        <v>12</v>
      </c>
      <c r="F325" s="294">
        <v>3.1</v>
      </c>
      <c r="G325" s="308">
        <f t="shared" si="49"/>
        <v>7.4299527799999998</v>
      </c>
      <c r="H325" s="294">
        <v>134.6</v>
      </c>
      <c r="I325" s="297"/>
      <c r="J325" s="297"/>
      <c r="K325" s="294">
        <f t="shared" si="48"/>
        <v>2.4256000000000002</v>
      </c>
      <c r="L325" s="294">
        <f t="shared" si="46"/>
        <v>0.45229578234542955</v>
      </c>
      <c r="M325" s="309">
        <f t="shared" si="52"/>
        <v>1.3841460156527123</v>
      </c>
      <c r="N325" s="294">
        <v>0</v>
      </c>
      <c r="O325" s="294" t="str">
        <f t="shared" si="53"/>
        <v/>
      </c>
      <c r="P325" s="294"/>
    </row>
    <row r="326" spans="1:16">
      <c r="A326" s="294">
        <v>28</v>
      </c>
      <c r="B326" s="294" t="s">
        <v>545</v>
      </c>
      <c r="C326" s="294" t="s">
        <v>545</v>
      </c>
      <c r="D326" s="295" t="s">
        <v>1041</v>
      </c>
      <c r="E326" s="296">
        <v>1</v>
      </c>
      <c r="F326" s="294">
        <v>1.2</v>
      </c>
      <c r="G326" s="294">
        <v>4.5</v>
      </c>
      <c r="H326" s="294"/>
      <c r="I326" s="294">
        <v>0.99399999999999999</v>
      </c>
      <c r="J326" s="294">
        <v>-0.1</v>
      </c>
      <c r="K326" s="294">
        <f>2.5-0.024*F326</f>
        <v>2.4712000000000001</v>
      </c>
      <c r="L326" s="294">
        <f>1/(1.05+1.4*EXP(-0.0604*F326))</f>
        <v>0.42514872248376501</v>
      </c>
      <c r="M326" s="297">
        <f>$I$326*L326*(G326/K326)+$J$326</f>
        <v>0.66954120899558145</v>
      </c>
      <c r="N326" s="294">
        <v>0</v>
      </c>
      <c r="O326" s="294" t="str">
        <f t="shared" si="53"/>
        <v/>
      </c>
      <c r="P326" s="294">
        <f>AVERAGE(O326:O337)</f>
        <v>6.3859893092311619</v>
      </c>
    </row>
    <row r="327" spans="1:16">
      <c r="A327" s="294"/>
      <c r="B327" s="294" t="s">
        <v>545</v>
      </c>
      <c r="C327" s="294" t="s">
        <v>545</v>
      </c>
      <c r="D327" s="295" t="s">
        <v>1041</v>
      </c>
      <c r="E327" s="296">
        <v>2</v>
      </c>
      <c r="F327" s="294">
        <v>2.2999999999999998</v>
      </c>
      <c r="G327" s="294">
        <v>8.3000000000000007</v>
      </c>
      <c r="H327" s="294"/>
      <c r="I327" s="294"/>
      <c r="J327" s="294"/>
      <c r="K327" s="294">
        <f>2.5-0.024*F327</f>
        <v>2.4447999999999999</v>
      </c>
      <c r="L327" s="294">
        <f t="shared" ref="L327:L328" si="54">1/(1.05+1.4*EXP(-0.0604*F327))</f>
        <v>0.44083611089147634</v>
      </c>
      <c r="M327" s="297">
        <f t="shared" ref="M327:M337" si="55">$I$326*L327*(G327/K327)+$J$326</f>
        <v>1.3876415584411232</v>
      </c>
      <c r="N327" s="294">
        <v>0</v>
      </c>
      <c r="O327" s="294" t="str">
        <f t="shared" si="53"/>
        <v/>
      </c>
      <c r="P327" s="294"/>
    </row>
    <row r="328" spans="1:16">
      <c r="A328" s="294"/>
      <c r="B328" s="294" t="s">
        <v>545</v>
      </c>
      <c r="C328" s="294" t="s">
        <v>545</v>
      </c>
      <c r="D328" s="295" t="s">
        <v>1041</v>
      </c>
      <c r="E328" s="296">
        <v>3</v>
      </c>
      <c r="F328" s="294">
        <v>5.7</v>
      </c>
      <c r="G328" s="294">
        <v>11.8</v>
      </c>
      <c r="H328" s="294"/>
      <c r="I328" s="294"/>
      <c r="J328" s="294"/>
      <c r="K328" s="294">
        <f t="shared" ref="K328:K433" si="56">2.5-0.024*F328</f>
        <v>2.3632</v>
      </c>
      <c r="L328" s="294">
        <f t="shared" si="54"/>
        <v>0.48966257712415773</v>
      </c>
      <c r="M328" s="297">
        <f t="shared" si="55"/>
        <v>2.3303276487832902</v>
      </c>
      <c r="N328" s="294">
        <v>0</v>
      </c>
      <c r="O328" s="294" t="str">
        <f t="shared" si="53"/>
        <v/>
      </c>
      <c r="P328" s="294"/>
    </row>
    <row r="329" spans="1:16">
      <c r="A329" s="294"/>
      <c r="B329" s="294" t="s">
        <v>545</v>
      </c>
      <c r="C329" s="294" t="s">
        <v>545</v>
      </c>
      <c r="D329" s="295" t="s">
        <v>1041</v>
      </c>
      <c r="E329" s="296">
        <v>4</v>
      </c>
      <c r="F329" s="294">
        <v>10.9</v>
      </c>
      <c r="G329" s="294">
        <v>16.3</v>
      </c>
      <c r="H329" s="294"/>
      <c r="I329" s="294"/>
      <c r="J329" s="294"/>
      <c r="K329" s="294">
        <f t="shared" si="56"/>
        <v>2.2383999999999999</v>
      </c>
      <c r="L329" s="294">
        <f>1/(1.05+1.4*EXP(-0.0604*F329))</f>
        <v>0.56345026615865479</v>
      </c>
      <c r="M329" s="297">
        <f t="shared" si="55"/>
        <v>3.9784193630967466</v>
      </c>
      <c r="N329" s="294">
        <v>0</v>
      </c>
      <c r="O329" s="294" t="str">
        <f t="shared" si="53"/>
        <v/>
      </c>
      <c r="P329" s="294"/>
    </row>
    <row r="330" spans="1:16">
      <c r="A330" s="294"/>
      <c r="B330" s="294" t="s">
        <v>545</v>
      </c>
      <c r="C330" s="294" t="s">
        <v>545</v>
      </c>
      <c r="D330" s="295" t="s">
        <v>1041</v>
      </c>
      <c r="E330" s="296">
        <v>5</v>
      </c>
      <c r="F330" s="294">
        <v>16.7</v>
      </c>
      <c r="G330" s="294">
        <v>19.899999999999999</v>
      </c>
      <c r="H330" s="294"/>
      <c r="I330" s="294"/>
      <c r="J330" s="294"/>
      <c r="K330" s="294">
        <f t="shared" si="56"/>
        <v>2.0992000000000002</v>
      </c>
      <c r="L330" s="294">
        <f>1/(1.05+1.4*EXP(-0.0604*F330))</f>
        <v>0.64078736157508165</v>
      </c>
      <c r="M330" s="297">
        <f t="shared" si="55"/>
        <v>5.9380899792168726</v>
      </c>
      <c r="N330" s="294">
        <v>0</v>
      </c>
      <c r="O330" s="294" t="str">
        <f t="shared" si="53"/>
        <v/>
      </c>
      <c r="P330" s="294"/>
    </row>
    <row r="331" spans="1:16">
      <c r="A331" s="294"/>
      <c r="B331" s="294" t="s">
        <v>545</v>
      </c>
      <c r="C331" s="294" t="s">
        <v>545</v>
      </c>
      <c r="D331" s="295" t="s">
        <v>1046</v>
      </c>
      <c r="E331" s="296">
        <v>6</v>
      </c>
      <c r="F331" s="294">
        <v>19.899999999999999</v>
      </c>
      <c r="G331" s="294">
        <v>19.600000000000001</v>
      </c>
      <c r="H331" s="294"/>
      <c r="I331" s="294"/>
      <c r="J331" s="294"/>
      <c r="K331" s="294">
        <f t="shared" si="56"/>
        <v>2.0224000000000002</v>
      </c>
      <c r="L331" s="294">
        <f t="shared" ref="L331:L433" si="57">1/(1.05+1.4*EXP(-0.0604*F331))</f>
        <v>0.67988072455324944</v>
      </c>
      <c r="M331" s="297">
        <f t="shared" si="55"/>
        <v>6.4494997171856348</v>
      </c>
      <c r="N331" s="294">
        <v>0</v>
      </c>
      <c r="O331" s="294" t="str">
        <f t="shared" si="53"/>
        <v/>
      </c>
      <c r="P331" s="294"/>
    </row>
    <row r="332" spans="1:16">
      <c r="A332" s="294"/>
      <c r="B332" s="294" t="s">
        <v>545</v>
      </c>
      <c r="C332" s="294" t="s">
        <v>545</v>
      </c>
      <c r="D332" s="295" t="s">
        <v>1046</v>
      </c>
      <c r="E332" s="296">
        <v>7</v>
      </c>
      <c r="F332" s="294">
        <v>23.8</v>
      </c>
      <c r="G332" s="294">
        <v>17.399999999999999</v>
      </c>
      <c r="H332" s="294"/>
      <c r="I332" s="294"/>
      <c r="J332" s="294"/>
      <c r="K332" s="294">
        <f t="shared" si="56"/>
        <v>1.9287999999999998</v>
      </c>
      <c r="L332" s="294">
        <f t="shared" si="57"/>
        <v>0.72331553572267304</v>
      </c>
      <c r="M332" s="297">
        <f t="shared" si="55"/>
        <v>6.3859893092311619</v>
      </c>
      <c r="N332" s="294">
        <v>1</v>
      </c>
      <c r="O332" s="294">
        <f t="shared" si="53"/>
        <v>6.3859893092311619</v>
      </c>
      <c r="P332" s="294"/>
    </row>
    <row r="333" spans="1:16">
      <c r="A333" s="294"/>
      <c r="B333" s="294" t="s">
        <v>545</v>
      </c>
      <c r="C333" s="294" t="s">
        <v>545</v>
      </c>
      <c r="D333" s="295" t="s">
        <v>1041</v>
      </c>
      <c r="E333" s="296">
        <v>8</v>
      </c>
      <c r="F333" s="294">
        <v>24.8</v>
      </c>
      <c r="G333" s="294">
        <v>16.600000000000001</v>
      </c>
      <c r="H333" s="294"/>
      <c r="I333" s="294"/>
      <c r="J333" s="294"/>
      <c r="K333" s="294">
        <f t="shared" si="56"/>
        <v>1.9047999999999998</v>
      </c>
      <c r="L333" s="294">
        <f t="shared" si="57"/>
        <v>0.73365813797851909</v>
      </c>
      <c r="M333" s="297">
        <f t="shared" si="55"/>
        <v>6.2553405816362657</v>
      </c>
      <c r="N333" s="294">
        <v>0</v>
      </c>
      <c r="O333" s="294" t="str">
        <f t="shared" si="53"/>
        <v/>
      </c>
      <c r="P333" s="294"/>
    </row>
    <row r="334" spans="1:16">
      <c r="A334" s="294"/>
      <c r="B334" s="294" t="s">
        <v>545</v>
      </c>
      <c r="C334" s="294" t="s">
        <v>545</v>
      </c>
      <c r="D334" s="295" t="s">
        <v>1041</v>
      </c>
      <c r="E334" s="296">
        <v>9</v>
      </c>
      <c r="F334" s="294">
        <v>20.100000000000001</v>
      </c>
      <c r="G334" s="294">
        <v>13.2</v>
      </c>
      <c r="H334" s="294"/>
      <c r="I334" s="294"/>
      <c r="J334" s="294"/>
      <c r="K334" s="294">
        <f t="shared" si="56"/>
        <v>2.0175999999999998</v>
      </c>
      <c r="L334" s="294">
        <f t="shared" si="57"/>
        <v>0.68222457536345948</v>
      </c>
      <c r="M334" s="297">
        <f t="shared" si="55"/>
        <v>4.3366238146455593</v>
      </c>
      <c r="N334" s="294">
        <v>0</v>
      </c>
      <c r="O334" s="294" t="str">
        <f t="shared" si="53"/>
        <v/>
      </c>
      <c r="P334" s="294"/>
    </row>
    <row r="335" spans="1:16">
      <c r="A335" s="294"/>
      <c r="B335" s="294" t="s">
        <v>545</v>
      </c>
      <c r="C335" s="294" t="s">
        <v>545</v>
      </c>
      <c r="D335" s="295" t="s">
        <v>1041</v>
      </c>
      <c r="E335" s="296">
        <v>10</v>
      </c>
      <c r="F335" s="294">
        <v>13.4</v>
      </c>
      <c r="G335" s="294">
        <v>10.9</v>
      </c>
      <c r="H335" s="294"/>
      <c r="I335" s="294"/>
      <c r="J335" s="294"/>
      <c r="K335" s="294">
        <f t="shared" si="56"/>
        <v>2.1783999999999999</v>
      </c>
      <c r="L335" s="294">
        <f t="shared" si="57"/>
        <v>0.59765717915425864</v>
      </c>
      <c r="M335" s="297">
        <f t="shared" si="55"/>
        <v>2.8725378595596451</v>
      </c>
      <c r="N335" s="294">
        <v>0</v>
      </c>
      <c r="O335" s="294" t="str">
        <f t="shared" si="53"/>
        <v/>
      </c>
      <c r="P335" s="294"/>
    </row>
    <row r="336" spans="1:16">
      <c r="A336" s="294"/>
      <c r="B336" s="294" t="s">
        <v>545</v>
      </c>
      <c r="C336" s="294" t="s">
        <v>545</v>
      </c>
      <c r="D336" s="295" t="s">
        <v>1041</v>
      </c>
      <c r="E336" s="296">
        <v>11</v>
      </c>
      <c r="F336" s="294">
        <v>9.4</v>
      </c>
      <c r="G336" s="294">
        <v>5.7</v>
      </c>
      <c r="H336" s="294"/>
      <c r="I336" s="294"/>
      <c r="J336" s="294"/>
      <c r="K336" s="294">
        <f t="shared" si="56"/>
        <v>2.2744</v>
      </c>
      <c r="L336" s="294">
        <f t="shared" si="57"/>
        <v>0.54244317029746025</v>
      </c>
      <c r="M336" s="297">
        <f t="shared" si="55"/>
        <v>1.2512902366652083</v>
      </c>
      <c r="N336" s="294">
        <v>0</v>
      </c>
      <c r="O336" s="294" t="str">
        <f t="shared" si="53"/>
        <v/>
      </c>
      <c r="P336" s="294"/>
    </row>
    <row r="337" spans="1:16">
      <c r="A337" s="294"/>
      <c r="B337" s="294" t="s">
        <v>545</v>
      </c>
      <c r="C337" s="294" t="s">
        <v>545</v>
      </c>
      <c r="D337" s="295" t="s">
        <v>1041</v>
      </c>
      <c r="E337" s="296">
        <v>12</v>
      </c>
      <c r="F337" s="294">
        <v>4.3</v>
      </c>
      <c r="G337" s="294">
        <v>4.4000000000000004</v>
      </c>
      <c r="H337" s="294"/>
      <c r="I337" s="294"/>
      <c r="J337" s="294"/>
      <c r="K337" s="294">
        <f t="shared" si="56"/>
        <v>2.3967999999999998</v>
      </c>
      <c r="L337" s="294">
        <f t="shared" si="57"/>
        <v>0.46953327364651853</v>
      </c>
      <c r="M337" s="297">
        <f t="shared" si="55"/>
        <v>0.7567885203689978</v>
      </c>
      <c r="N337" s="294">
        <v>0</v>
      </c>
      <c r="O337" s="294" t="str">
        <f t="shared" si="53"/>
        <v/>
      </c>
      <c r="P337" s="294"/>
    </row>
    <row r="338" spans="1:16">
      <c r="A338" s="294">
        <v>29</v>
      </c>
      <c r="B338" s="294" t="s">
        <v>282</v>
      </c>
      <c r="C338" s="294" t="s">
        <v>546</v>
      </c>
      <c r="D338" s="295" t="s">
        <v>1054</v>
      </c>
      <c r="E338" s="296">
        <v>1</v>
      </c>
      <c r="F338" s="294">
        <v>-0.6</v>
      </c>
      <c r="G338" s="294">
        <v>6.9</v>
      </c>
      <c r="H338" s="294"/>
      <c r="I338" s="294">
        <v>0.9</v>
      </c>
      <c r="J338" s="294">
        <v>0.25</v>
      </c>
      <c r="K338" s="294">
        <f t="shared" si="56"/>
        <v>2.5144000000000002</v>
      </c>
      <c r="L338" s="294">
        <f t="shared" si="57"/>
        <v>0.39973353071255374</v>
      </c>
      <c r="M338" s="297">
        <f>$I$338*L338*(G338/K338)+$J$338</f>
        <v>1.2372515215259936</v>
      </c>
      <c r="N338" s="294">
        <v>0</v>
      </c>
      <c r="O338" s="294" t="str">
        <f t="shared" si="53"/>
        <v/>
      </c>
      <c r="P338" s="294">
        <f>AVERAGE(O338:O349)</f>
        <v>6.306295728441861</v>
      </c>
    </row>
    <row r="339" spans="1:16">
      <c r="A339" s="294"/>
      <c r="B339" s="294" t="s">
        <v>282</v>
      </c>
      <c r="C339" s="294" t="s">
        <v>546</v>
      </c>
      <c r="D339" s="295" t="s">
        <v>1054</v>
      </c>
      <c r="E339" s="296">
        <v>2</v>
      </c>
      <c r="F339" s="294">
        <v>0.6</v>
      </c>
      <c r="G339" s="294">
        <v>9.8000000000000007</v>
      </c>
      <c r="H339" s="294"/>
      <c r="I339" s="294"/>
      <c r="J339" s="294"/>
      <c r="K339" s="294">
        <f t="shared" si="56"/>
        <v>2.4855999999999998</v>
      </c>
      <c r="L339" s="294">
        <f t="shared" si="57"/>
        <v>0.41663675030282415</v>
      </c>
      <c r="M339" s="297">
        <f t="shared" ref="M339:M349" si="58">$I$338*L339*(G339/K339)+$J$338</f>
        <v>1.7284100972283996</v>
      </c>
      <c r="N339" s="294">
        <v>0</v>
      </c>
      <c r="O339" s="294" t="str">
        <f t="shared" si="53"/>
        <v/>
      </c>
      <c r="P339" s="294"/>
    </row>
    <row r="340" spans="1:16">
      <c r="A340" s="294"/>
      <c r="B340" s="294" t="s">
        <v>282</v>
      </c>
      <c r="C340" s="294" t="s">
        <v>546</v>
      </c>
      <c r="D340" s="295" t="s">
        <v>1054</v>
      </c>
      <c r="E340" s="296">
        <v>3</v>
      </c>
      <c r="F340" s="294">
        <v>4.4000000000000004</v>
      </c>
      <c r="G340" s="294">
        <v>13.1</v>
      </c>
      <c r="H340" s="294"/>
      <c r="I340" s="294"/>
      <c r="J340" s="294"/>
      <c r="K340" s="294">
        <f t="shared" si="56"/>
        <v>2.3944000000000001</v>
      </c>
      <c r="L340" s="294">
        <f t="shared" si="57"/>
        <v>0.47097114415321184</v>
      </c>
      <c r="M340" s="297">
        <f t="shared" si="58"/>
        <v>2.5690568783688472</v>
      </c>
      <c r="N340" s="294">
        <v>0</v>
      </c>
      <c r="O340" s="294" t="str">
        <f t="shared" si="53"/>
        <v/>
      </c>
      <c r="P340" s="294"/>
    </row>
    <row r="341" spans="1:16">
      <c r="A341" s="294"/>
      <c r="B341" s="294" t="s">
        <v>282</v>
      </c>
      <c r="C341" s="294" t="s">
        <v>546</v>
      </c>
      <c r="D341" s="295" t="s">
        <v>1054</v>
      </c>
      <c r="E341" s="296">
        <v>4</v>
      </c>
      <c r="F341" s="294">
        <v>10.5</v>
      </c>
      <c r="G341" s="294">
        <v>16.2</v>
      </c>
      <c r="H341" s="294"/>
      <c r="I341" s="294"/>
      <c r="J341" s="294"/>
      <c r="K341" s="294">
        <f t="shared" si="56"/>
        <v>2.2480000000000002</v>
      </c>
      <c r="L341" s="294">
        <f t="shared" si="57"/>
        <v>0.55787898239898637</v>
      </c>
      <c r="M341" s="297">
        <f t="shared" si="58"/>
        <v>3.8682720477656676</v>
      </c>
      <c r="N341" s="294">
        <v>0</v>
      </c>
      <c r="O341" s="294" t="str">
        <f t="shared" si="53"/>
        <v/>
      </c>
      <c r="P341" s="294"/>
    </row>
    <row r="342" spans="1:16">
      <c r="A342" s="294"/>
      <c r="B342" s="294" t="s">
        <v>282</v>
      </c>
      <c r="C342" s="294" t="s">
        <v>546</v>
      </c>
      <c r="D342" s="295" t="s">
        <v>1054</v>
      </c>
      <c r="E342" s="296">
        <v>5</v>
      </c>
      <c r="F342" s="294">
        <v>16.600000000000001</v>
      </c>
      <c r="G342" s="294">
        <v>20.399999999999999</v>
      </c>
      <c r="H342" s="294"/>
      <c r="I342" s="294"/>
      <c r="J342" s="294"/>
      <c r="K342" s="294">
        <f t="shared" si="56"/>
        <v>2.1015999999999999</v>
      </c>
      <c r="L342" s="294">
        <f t="shared" si="57"/>
        <v>0.63951976529868115</v>
      </c>
      <c r="M342" s="297">
        <f t="shared" si="58"/>
        <v>5.8369732065491942</v>
      </c>
      <c r="N342" s="294">
        <v>0</v>
      </c>
      <c r="O342" s="294" t="str">
        <f t="shared" si="53"/>
        <v/>
      </c>
      <c r="P342" s="294"/>
    </row>
    <row r="343" spans="1:16">
      <c r="A343" s="294"/>
      <c r="B343" s="294" t="s">
        <v>282</v>
      </c>
      <c r="C343" s="294" t="s">
        <v>546</v>
      </c>
      <c r="D343" s="295" t="s">
        <v>1054</v>
      </c>
      <c r="E343" s="296">
        <v>6</v>
      </c>
      <c r="F343" s="294">
        <v>19.3</v>
      </c>
      <c r="G343" s="294">
        <v>19.8</v>
      </c>
      <c r="H343" s="294"/>
      <c r="I343" s="294"/>
      <c r="J343" s="294"/>
      <c r="K343" s="294">
        <f t="shared" si="56"/>
        <v>2.0367999999999999</v>
      </c>
      <c r="L343" s="294">
        <f t="shared" si="57"/>
        <v>0.67277663480485017</v>
      </c>
      <c r="M343" s="297">
        <f t="shared" si="58"/>
        <v>6.1361349333377992</v>
      </c>
      <c r="N343" s="294">
        <v>0</v>
      </c>
      <c r="O343" s="294" t="str">
        <f t="shared" si="53"/>
        <v/>
      </c>
      <c r="P343" s="294"/>
    </row>
    <row r="344" spans="1:16">
      <c r="A344" s="294"/>
      <c r="B344" s="294" t="s">
        <v>282</v>
      </c>
      <c r="C344" s="294" t="s">
        <v>546</v>
      </c>
      <c r="D344" s="295" t="s">
        <v>1054</v>
      </c>
      <c r="E344" s="296">
        <v>7</v>
      </c>
      <c r="F344" s="294">
        <v>24.1</v>
      </c>
      <c r="G344" s="294">
        <v>17.8</v>
      </c>
      <c r="H344" s="294"/>
      <c r="I344" s="294"/>
      <c r="J344" s="294"/>
      <c r="K344" s="294">
        <f t="shared" si="56"/>
        <v>1.9216</v>
      </c>
      <c r="L344" s="294">
        <f t="shared" si="57"/>
        <v>0.72645305067252686</v>
      </c>
      <c r="M344" s="297">
        <f t="shared" si="58"/>
        <v>6.306295728441861</v>
      </c>
      <c r="N344" s="294">
        <v>1</v>
      </c>
      <c r="O344" s="294">
        <f t="shared" si="53"/>
        <v>6.306295728441861</v>
      </c>
      <c r="P344" s="294"/>
    </row>
    <row r="345" spans="1:16">
      <c r="A345" s="294"/>
      <c r="B345" s="294" t="s">
        <v>282</v>
      </c>
      <c r="C345" s="294" t="s">
        <v>546</v>
      </c>
      <c r="D345" s="295" t="s">
        <v>1054</v>
      </c>
      <c r="E345" s="296">
        <v>8</v>
      </c>
      <c r="F345" s="294">
        <v>23.4</v>
      </c>
      <c r="G345" s="294">
        <v>15.9</v>
      </c>
      <c r="H345" s="294"/>
      <c r="I345" s="294"/>
      <c r="J345" s="294"/>
      <c r="K345" s="294">
        <f t="shared" si="56"/>
        <v>1.9384000000000001</v>
      </c>
      <c r="L345" s="294">
        <f t="shared" si="57"/>
        <v>0.71908608973973653</v>
      </c>
      <c r="M345" s="297">
        <f t="shared" si="58"/>
        <v>5.5585647669085994</v>
      </c>
      <c r="N345" s="294">
        <v>0</v>
      </c>
      <c r="O345" s="294" t="str">
        <f t="shared" si="53"/>
        <v/>
      </c>
      <c r="P345" s="294"/>
    </row>
    <row r="346" spans="1:16">
      <c r="A346" s="294"/>
      <c r="B346" s="294" t="s">
        <v>282</v>
      </c>
      <c r="C346" s="294" t="s">
        <v>546</v>
      </c>
      <c r="D346" s="295" t="s">
        <v>1054</v>
      </c>
      <c r="E346" s="296">
        <v>9</v>
      </c>
      <c r="F346" s="294">
        <v>18.7</v>
      </c>
      <c r="G346" s="294">
        <v>13.4</v>
      </c>
      <c r="H346" s="294"/>
      <c r="I346" s="294"/>
      <c r="J346" s="294"/>
      <c r="K346" s="294">
        <f t="shared" si="56"/>
        <v>2.0512000000000001</v>
      </c>
      <c r="L346" s="294">
        <f t="shared" si="57"/>
        <v>0.66556547157492041</v>
      </c>
      <c r="M346" s="297">
        <f t="shared" si="58"/>
        <v>4.1631823260498928</v>
      </c>
      <c r="N346" s="294">
        <v>0</v>
      </c>
      <c r="O346" s="294" t="str">
        <f t="shared" si="53"/>
        <v/>
      </c>
      <c r="P346" s="294"/>
    </row>
    <row r="347" spans="1:16">
      <c r="A347" s="294"/>
      <c r="B347" s="294" t="s">
        <v>282</v>
      </c>
      <c r="C347" s="294" t="s">
        <v>546</v>
      </c>
      <c r="D347" s="295" t="s">
        <v>1054</v>
      </c>
      <c r="E347" s="296">
        <v>10</v>
      </c>
      <c r="F347" s="294">
        <v>11.8</v>
      </c>
      <c r="G347" s="294">
        <v>10.7</v>
      </c>
      <c r="H347" s="294"/>
      <c r="I347" s="294"/>
      <c r="J347" s="294"/>
      <c r="K347" s="294">
        <f t="shared" si="56"/>
        <v>2.2168000000000001</v>
      </c>
      <c r="L347" s="294">
        <f t="shared" si="57"/>
        <v>0.57589347711044203</v>
      </c>
      <c r="M347" s="297">
        <f t="shared" si="58"/>
        <v>2.7517386253038416</v>
      </c>
      <c r="N347" s="294">
        <v>0</v>
      </c>
      <c r="O347" s="294" t="str">
        <f t="shared" si="53"/>
        <v/>
      </c>
      <c r="P347" s="294"/>
    </row>
    <row r="348" spans="1:16">
      <c r="A348" s="294"/>
      <c r="B348" s="294" t="s">
        <v>282</v>
      </c>
      <c r="C348" s="294" t="s">
        <v>546</v>
      </c>
      <c r="D348" s="295" t="s">
        <v>1054</v>
      </c>
      <c r="E348" s="296">
        <v>11</v>
      </c>
      <c r="F348" s="294">
        <v>7.5</v>
      </c>
      <c r="G348" s="294">
        <v>6.5</v>
      </c>
      <c r="H348" s="294"/>
      <c r="I348" s="294"/>
      <c r="J348" s="294"/>
      <c r="K348" s="294">
        <f t="shared" si="56"/>
        <v>2.3199999999999998</v>
      </c>
      <c r="L348" s="294">
        <f t="shared" si="57"/>
        <v>0.51546248616696222</v>
      </c>
      <c r="M348" s="297">
        <f t="shared" si="58"/>
        <v>1.5497653207227282</v>
      </c>
      <c r="N348" s="294">
        <v>0</v>
      </c>
      <c r="O348" s="294" t="str">
        <f t="shared" si="53"/>
        <v/>
      </c>
      <c r="P348" s="294"/>
    </row>
    <row r="349" spans="1:16">
      <c r="A349" s="294"/>
      <c r="B349" s="294" t="s">
        <v>282</v>
      </c>
      <c r="C349" s="294" t="s">
        <v>546</v>
      </c>
      <c r="D349" s="295" t="s">
        <v>1054</v>
      </c>
      <c r="E349" s="296">
        <v>12</v>
      </c>
      <c r="F349" s="294">
        <v>2.2999999999999998</v>
      </c>
      <c r="G349" s="294">
        <v>6.6</v>
      </c>
      <c r="H349" s="294"/>
      <c r="I349" s="294"/>
      <c r="J349" s="294"/>
      <c r="K349" s="294">
        <f t="shared" si="56"/>
        <v>2.4447999999999999</v>
      </c>
      <c r="L349" s="294">
        <f t="shared" si="57"/>
        <v>0.44083611089147634</v>
      </c>
      <c r="M349" s="297">
        <f t="shared" si="58"/>
        <v>1.3210759565998731</v>
      </c>
      <c r="N349" s="294">
        <v>0</v>
      </c>
      <c r="O349" s="294" t="str">
        <f t="shared" si="53"/>
        <v/>
      </c>
      <c r="P349" s="294"/>
    </row>
    <row r="350" spans="1:16">
      <c r="A350" s="294">
        <v>30</v>
      </c>
      <c r="B350" s="294" t="s">
        <v>282</v>
      </c>
      <c r="C350" s="294" t="s">
        <v>547</v>
      </c>
      <c r="D350" s="295" t="s">
        <v>1054</v>
      </c>
      <c r="E350" s="296">
        <v>1</v>
      </c>
      <c r="F350" s="294">
        <v>1.5</v>
      </c>
      <c r="G350" s="308">
        <f t="shared" ref="G350:G361" si="59">$T$11+$T$12*H350+INDEX($T$13:$T$24,MATCH(E350,$S$13:$S$24,0),1)</f>
        <v>8.7410851299999983</v>
      </c>
      <c r="H350" s="294">
        <v>148.1</v>
      </c>
      <c r="I350" s="306">
        <v>0.65800000000000003</v>
      </c>
      <c r="J350" s="307">
        <v>0.71</v>
      </c>
      <c r="K350" s="294">
        <f t="shared" si="56"/>
        <v>2.464</v>
      </c>
      <c r="L350" s="294">
        <f t="shared" si="57"/>
        <v>0.42941746917909795</v>
      </c>
      <c r="M350" s="309">
        <f>$I$350*L350*(G350/K350)+$J$350</f>
        <v>1.712375049755519</v>
      </c>
      <c r="N350" s="294">
        <v>0</v>
      </c>
      <c r="O350" s="294" t="str">
        <f t="shared" si="53"/>
        <v/>
      </c>
      <c r="P350" s="294">
        <f>AVERAGE(O350:O361)</f>
        <v>4.6440683774358629</v>
      </c>
    </row>
    <row r="351" spans="1:16">
      <c r="A351" s="294"/>
      <c r="B351" s="294" t="s">
        <v>282</v>
      </c>
      <c r="C351" s="294" t="s">
        <v>547</v>
      </c>
      <c r="D351" s="295" t="s">
        <v>1054</v>
      </c>
      <c r="E351" s="296">
        <v>2</v>
      </c>
      <c r="F351" s="294">
        <v>1.7</v>
      </c>
      <c r="G351" s="308">
        <f t="shared" si="59"/>
        <v>10.53315959</v>
      </c>
      <c r="H351" s="294">
        <v>134.30000000000001</v>
      </c>
      <c r="I351" s="297"/>
      <c r="J351" s="297"/>
      <c r="K351" s="294">
        <f t="shared" si="56"/>
        <v>2.4592000000000001</v>
      </c>
      <c r="L351" s="294">
        <f t="shared" si="57"/>
        <v>0.4322675669040601</v>
      </c>
      <c r="M351" s="309">
        <f t="shared" ref="M351:M361" si="60">$I$350*L351*(G351/K351)+$J$350</f>
        <v>1.9282694657613066</v>
      </c>
      <c r="N351" s="294">
        <v>0</v>
      </c>
      <c r="O351" s="294" t="str">
        <f t="shared" si="53"/>
        <v/>
      </c>
      <c r="P351" s="294"/>
    </row>
    <row r="352" spans="1:16">
      <c r="A352" s="294"/>
      <c r="B352" s="294" t="s">
        <v>282</v>
      </c>
      <c r="C352" s="294" t="s">
        <v>547</v>
      </c>
      <c r="D352" s="295" t="s">
        <v>1054</v>
      </c>
      <c r="E352" s="296">
        <v>3</v>
      </c>
      <c r="F352" s="294">
        <v>5.3</v>
      </c>
      <c r="G352" s="308">
        <f t="shared" si="59"/>
        <v>14.482676059999999</v>
      </c>
      <c r="H352" s="294">
        <v>185.2</v>
      </c>
      <c r="I352" s="297"/>
      <c r="J352" s="297"/>
      <c r="K352" s="294">
        <f t="shared" si="56"/>
        <v>2.3727999999999998</v>
      </c>
      <c r="L352" s="294">
        <f t="shared" si="57"/>
        <v>0.48391311512621654</v>
      </c>
      <c r="M352" s="309">
        <f t="shared" si="60"/>
        <v>2.6534839986570637</v>
      </c>
      <c r="N352" s="294">
        <v>0</v>
      </c>
      <c r="O352" s="294" t="str">
        <f t="shared" si="53"/>
        <v/>
      </c>
      <c r="P352" s="294"/>
    </row>
    <row r="353" spans="1:16">
      <c r="A353" s="294"/>
      <c r="B353" s="294" t="s">
        <v>282</v>
      </c>
      <c r="C353" s="294" t="s">
        <v>547</v>
      </c>
      <c r="D353" s="295" t="s">
        <v>1054</v>
      </c>
      <c r="E353" s="296">
        <v>4</v>
      </c>
      <c r="F353" s="294">
        <v>10</v>
      </c>
      <c r="G353" s="308">
        <f t="shared" si="59"/>
        <v>16.572609700000001</v>
      </c>
      <c r="H353" s="294">
        <v>189</v>
      </c>
      <c r="I353" s="297"/>
      <c r="J353" s="297"/>
      <c r="K353" s="294">
        <f t="shared" si="56"/>
        <v>2.2599999999999998</v>
      </c>
      <c r="L353" s="294">
        <f t="shared" si="57"/>
        <v>0.55088251592251125</v>
      </c>
      <c r="M353" s="309">
        <f t="shared" si="60"/>
        <v>3.368075703506674</v>
      </c>
      <c r="N353" s="294">
        <v>0</v>
      </c>
      <c r="O353" s="294" t="str">
        <f t="shared" si="53"/>
        <v/>
      </c>
      <c r="P353" s="294"/>
    </row>
    <row r="354" spans="1:16">
      <c r="A354" s="294"/>
      <c r="B354" s="294" t="s">
        <v>282</v>
      </c>
      <c r="C354" s="294" t="s">
        <v>547</v>
      </c>
      <c r="D354" s="295" t="s">
        <v>1054</v>
      </c>
      <c r="E354" s="296">
        <v>5</v>
      </c>
      <c r="F354" s="294">
        <v>15.9</v>
      </c>
      <c r="G354" s="308">
        <f t="shared" si="59"/>
        <v>21.13836087</v>
      </c>
      <c r="H354" s="294">
        <v>249.9</v>
      </c>
      <c r="I354" s="297"/>
      <c r="J354" s="297"/>
      <c r="K354" s="294">
        <f t="shared" si="56"/>
        <v>2.1183999999999998</v>
      </c>
      <c r="L354" s="294">
        <f t="shared" si="57"/>
        <v>0.63057384037924924</v>
      </c>
      <c r="M354" s="309">
        <f t="shared" si="60"/>
        <v>4.8502368224470702</v>
      </c>
      <c r="N354" s="294">
        <v>0</v>
      </c>
      <c r="O354" s="294" t="str">
        <f t="shared" si="53"/>
        <v/>
      </c>
      <c r="P354" s="294"/>
    </row>
    <row r="355" spans="1:16">
      <c r="A355" s="294"/>
      <c r="B355" s="294" t="s">
        <v>282</v>
      </c>
      <c r="C355" s="294" t="s">
        <v>547</v>
      </c>
      <c r="D355" s="295" t="s">
        <v>1054</v>
      </c>
      <c r="E355" s="296">
        <v>6</v>
      </c>
      <c r="F355" s="294">
        <v>17.2</v>
      </c>
      <c r="G355" s="308">
        <f t="shared" si="59"/>
        <v>17.2209146</v>
      </c>
      <c r="H355" s="294">
        <v>162</v>
      </c>
      <c r="I355" s="297"/>
      <c r="J355" s="297"/>
      <c r="K355" s="294">
        <f t="shared" si="56"/>
        <v>2.0872000000000002</v>
      </c>
      <c r="L355" s="294">
        <f t="shared" si="57"/>
        <v>0.64708539575733404</v>
      </c>
      <c r="M355" s="309">
        <f t="shared" si="60"/>
        <v>4.2230120444723642</v>
      </c>
      <c r="N355" s="294">
        <v>0</v>
      </c>
      <c r="O355" s="294" t="str">
        <f t="shared" si="53"/>
        <v/>
      </c>
      <c r="P355" s="294"/>
    </row>
    <row r="356" spans="1:16">
      <c r="A356" s="294"/>
      <c r="B356" s="294" t="s">
        <v>282</v>
      </c>
      <c r="C356" s="294" t="s">
        <v>547</v>
      </c>
      <c r="D356" s="295" t="s">
        <v>1054</v>
      </c>
      <c r="E356" s="296">
        <v>7</v>
      </c>
      <c r="F356" s="294">
        <v>21</v>
      </c>
      <c r="G356" s="308">
        <f t="shared" si="59"/>
        <v>17.229859300000001</v>
      </c>
      <c r="H356" s="294">
        <v>171</v>
      </c>
      <c r="I356" s="297"/>
      <c r="J356" s="297"/>
      <c r="K356" s="294">
        <f t="shared" si="56"/>
        <v>1.996</v>
      </c>
      <c r="L356" s="294">
        <f t="shared" si="57"/>
        <v>0.69261966250512974</v>
      </c>
      <c r="M356" s="309">
        <f t="shared" si="60"/>
        <v>4.6440683774358629</v>
      </c>
      <c r="N356" s="294">
        <v>1</v>
      </c>
      <c r="O356" s="294">
        <f t="shared" si="53"/>
        <v>4.6440683774358629</v>
      </c>
      <c r="P356" s="294"/>
    </row>
    <row r="357" spans="1:16">
      <c r="A357" s="294"/>
      <c r="B357" s="294" t="s">
        <v>282</v>
      </c>
      <c r="C357" s="294" t="s">
        <v>547</v>
      </c>
      <c r="D357" s="295" t="s">
        <v>1054</v>
      </c>
      <c r="E357" s="296">
        <v>8</v>
      </c>
      <c r="F357" s="294">
        <v>21.7</v>
      </c>
      <c r="G357" s="308">
        <f t="shared" si="59"/>
        <v>14.270339679999999</v>
      </c>
      <c r="H357" s="294">
        <v>122.6</v>
      </c>
      <c r="I357" s="297"/>
      <c r="J357" s="297"/>
      <c r="K357" s="294">
        <f t="shared" si="56"/>
        <v>1.9792000000000001</v>
      </c>
      <c r="L357" s="294">
        <f t="shared" si="57"/>
        <v>0.70052966467044631</v>
      </c>
      <c r="M357" s="309">
        <f t="shared" si="60"/>
        <v>4.0335104820950667</v>
      </c>
      <c r="N357" s="294">
        <v>0</v>
      </c>
      <c r="O357" s="294" t="str">
        <f t="shared" si="53"/>
        <v/>
      </c>
      <c r="P357" s="294"/>
    </row>
    <row r="358" spans="1:16">
      <c r="A358" s="294"/>
      <c r="B358" s="294" t="s">
        <v>282</v>
      </c>
      <c r="C358" s="294" t="s">
        <v>547</v>
      </c>
      <c r="D358" s="295" t="s">
        <v>1054</v>
      </c>
      <c r="E358" s="296">
        <v>9</v>
      </c>
      <c r="F358" s="294">
        <v>18.399999999999999</v>
      </c>
      <c r="G358" s="308">
        <f t="shared" si="59"/>
        <v>14.234815779999998</v>
      </c>
      <c r="H358" s="294">
        <v>160.6</v>
      </c>
      <c r="I358" s="297"/>
      <c r="J358" s="297"/>
      <c r="K358" s="294">
        <f t="shared" si="56"/>
        <v>2.0583999999999998</v>
      </c>
      <c r="L358" s="294">
        <f t="shared" si="57"/>
        <v>0.66192047983258717</v>
      </c>
      <c r="M358" s="309">
        <f t="shared" si="60"/>
        <v>3.7219918325681904</v>
      </c>
      <c r="N358" s="294">
        <v>0</v>
      </c>
      <c r="O358" s="294" t="str">
        <f t="shared" si="53"/>
        <v/>
      </c>
      <c r="P358" s="294"/>
    </row>
    <row r="359" spans="1:16">
      <c r="A359" s="294"/>
      <c r="B359" s="294" t="s">
        <v>282</v>
      </c>
      <c r="C359" s="294" t="s">
        <v>547</v>
      </c>
      <c r="D359" s="295" t="s">
        <v>1054</v>
      </c>
      <c r="E359" s="296">
        <v>10</v>
      </c>
      <c r="F359" s="294">
        <v>12.9</v>
      </c>
      <c r="G359" s="308">
        <f t="shared" si="59"/>
        <v>12.184988009999998</v>
      </c>
      <c r="H359" s="294">
        <v>181.7</v>
      </c>
      <c r="I359" s="297"/>
      <c r="J359" s="297"/>
      <c r="K359" s="294">
        <f t="shared" si="56"/>
        <v>2.1903999999999999</v>
      </c>
      <c r="L359" s="294">
        <f t="shared" si="57"/>
        <v>0.5909090785245259</v>
      </c>
      <c r="M359" s="309">
        <f t="shared" si="60"/>
        <v>2.8729587217990065</v>
      </c>
      <c r="N359" s="294">
        <v>0</v>
      </c>
      <c r="O359" s="294" t="str">
        <f t="shared" si="53"/>
        <v/>
      </c>
      <c r="P359" s="294"/>
    </row>
    <row r="360" spans="1:16">
      <c r="A360" s="294"/>
      <c r="B360" s="294" t="s">
        <v>282</v>
      </c>
      <c r="C360" s="294" t="s">
        <v>547</v>
      </c>
      <c r="D360" s="295" t="s">
        <v>1054</v>
      </c>
      <c r="E360" s="296">
        <v>11</v>
      </c>
      <c r="F360" s="294">
        <v>8.6999999999999993</v>
      </c>
      <c r="G360" s="308">
        <f t="shared" si="59"/>
        <v>7.9239909599999994</v>
      </c>
      <c r="H360" s="294">
        <v>117.2</v>
      </c>
      <c r="I360" s="297"/>
      <c r="J360" s="297"/>
      <c r="K360" s="294">
        <f t="shared" si="56"/>
        <v>2.2911999999999999</v>
      </c>
      <c r="L360" s="294">
        <f t="shared" si="57"/>
        <v>0.53254372569577879</v>
      </c>
      <c r="M360" s="309">
        <f t="shared" si="60"/>
        <v>1.9218870276219844</v>
      </c>
      <c r="N360" s="294">
        <v>0</v>
      </c>
      <c r="O360" s="294" t="str">
        <f t="shared" si="53"/>
        <v/>
      </c>
      <c r="P360" s="294"/>
    </row>
    <row r="361" spans="1:16">
      <c r="A361" s="294"/>
      <c r="B361" s="294" t="s">
        <v>282</v>
      </c>
      <c r="C361" s="294" t="s">
        <v>547</v>
      </c>
      <c r="D361" s="295" t="s">
        <v>1054</v>
      </c>
      <c r="E361" s="296">
        <v>12</v>
      </c>
      <c r="F361" s="294">
        <v>4</v>
      </c>
      <c r="G361" s="308">
        <f t="shared" si="59"/>
        <v>8.3357868500000016</v>
      </c>
      <c r="H361" s="294">
        <v>154.5</v>
      </c>
      <c r="I361" s="297"/>
      <c r="J361" s="297"/>
      <c r="K361" s="294">
        <f t="shared" si="56"/>
        <v>2.4039999999999999</v>
      </c>
      <c r="L361" s="294">
        <f t="shared" si="57"/>
        <v>0.46522049539143712</v>
      </c>
      <c r="M361" s="309">
        <f t="shared" si="60"/>
        <v>1.7714434726268942</v>
      </c>
      <c r="N361" s="294">
        <v>0</v>
      </c>
      <c r="O361" s="294" t="str">
        <f t="shared" si="53"/>
        <v/>
      </c>
      <c r="P361" s="294"/>
    </row>
    <row r="362" spans="1:16">
      <c r="A362" s="294">
        <v>31</v>
      </c>
      <c r="B362" s="294" t="s">
        <v>548</v>
      </c>
      <c r="C362" s="294" t="s">
        <v>548</v>
      </c>
      <c r="D362" s="295" t="s">
        <v>1054</v>
      </c>
      <c r="E362" s="296">
        <v>1</v>
      </c>
      <c r="F362" s="294">
        <v>-0.2</v>
      </c>
      <c r="G362" s="294">
        <v>6.4</v>
      </c>
      <c r="H362" s="294"/>
      <c r="I362" s="294">
        <v>0.97899999999999998</v>
      </c>
      <c r="J362" s="294">
        <v>-0.13</v>
      </c>
      <c r="K362" s="294">
        <f t="shared" si="56"/>
        <v>2.5047999999999999</v>
      </c>
      <c r="L362" s="294">
        <f t="shared" si="57"/>
        <v>0.40534823579524998</v>
      </c>
      <c r="M362" s="297">
        <f>$I$362*L362*(G362/K362)+$J$362</f>
        <v>0.88395317238850135</v>
      </c>
      <c r="N362" s="294">
        <v>0</v>
      </c>
      <c r="O362" s="294" t="str">
        <f t="shared" si="53"/>
        <v/>
      </c>
      <c r="P362" s="294">
        <f>AVERAGE(O362:O373)</f>
        <v>6.9001860160486146</v>
      </c>
    </row>
    <row r="363" spans="1:16">
      <c r="A363" s="294"/>
      <c r="B363" s="294" t="s">
        <v>548</v>
      </c>
      <c r="C363" s="294" t="s">
        <v>548</v>
      </c>
      <c r="D363" s="295" t="s">
        <v>1054</v>
      </c>
      <c r="E363" s="296">
        <v>2</v>
      </c>
      <c r="F363" s="294">
        <v>0.9</v>
      </c>
      <c r="G363" s="294">
        <v>9.1</v>
      </c>
      <c r="H363" s="294"/>
      <c r="I363" s="294"/>
      <c r="J363" s="294"/>
      <c r="K363" s="294">
        <f t="shared" si="56"/>
        <v>2.4784000000000002</v>
      </c>
      <c r="L363" s="294">
        <f t="shared" si="57"/>
        <v>0.42088825845239364</v>
      </c>
      <c r="M363" s="297">
        <f t="shared" ref="M363:M373" si="61">$I$362*L363*(G363/K363)+$J$362</f>
        <v>1.3829322973396261</v>
      </c>
      <c r="N363" s="294">
        <v>0</v>
      </c>
      <c r="O363" s="294" t="str">
        <f t="shared" si="53"/>
        <v/>
      </c>
      <c r="P363" s="294"/>
    </row>
    <row r="364" spans="1:16">
      <c r="A364" s="294"/>
      <c r="B364" s="294" t="s">
        <v>548</v>
      </c>
      <c r="C364" s="294" t="s">
        <v>548</v>
      </c>
      <c r="D364" s="295" t="s">
        <v>1054</v>
      </c>
      <c r="E364" s="296">
        <v>3</v>
      </c>
      <c r="F364" s="294">
        <v>5</v>
      </c>
      <c r="G364" s="294">
        <v>13.1</v>
      </c>
      <c r="H364" s="294"/>
      <c r="I364" s="294"/>
      <c r="J364" s="294"/>
      <c r="K364" s="294">
        <f t="shared" si="56"/>
        <v>2.38</v>
      </c>
      <c r="L364" s="294">
        <f t="shared" si="57"/>
        <v>0.47959944832182527</v>
      </c>
      <c r="M364" s="297">
        <f t="shared" si="61"/>
        <v>2.4543760356229316</v>
      </c>
      <c r="N364" s="294">
        <v>0</v>
      </c>
      <c r="O364" s="294" t="str">
        <f t="shared" si="53"/>
        <v/>
      </c>
      <c r="P364" s="294"/>
    </row>
    <row r="365" spans="1:16">
      <c r="A365" s="294"/>
      <c r="B365" s="294" t="s">
        <v>548</v>
      </c>
      <c r="C365" s="294" t="s">
        <v>548</v>
      </c>
      <c r="D365" s="295" t="s">
        <v>1054</v>
      </c>
      <c r="E365" s="296">
        <v>4</v>
      </c>
      <c r="F365" s="294">
        <v>11.6</v>
      </c>
      <c r="G365" s="294">
        <v>17.2</v>
      </c>
      <c r="H365" s="294"/>
      <c r="I365" s="294"/>
      <c r="J365" s="294"/>
      <c r="K365" s="294">
        <f t="shared" si="56"/>
        <v>2.2216</v>
      </c>
      <c r="L365" s="294">
        <f t="shared" si="57"/>
        <v>0.57313992557863624</v>
      </c>
      <c r="M365" s="297">
        <f t="shared" si="61"/>
        <v>4.2141612256182661</v>
      </c>
      <c r="N365" s="294">
        <v>0</v>
      </c>
      <c r="O365" s="294" t="str">
        <f t="shared" si="53"/>
        <v/>
      </c>
      <c r="P365" s="294"/>
    </row>
    <row r="366" spans="1:16">
      <c r="A366" s="294"/>
      <c r="B366" s="294" t="s">
        <v>548</v>
      </c>
      <c r="C366" s="294" t="s">
        <v>548</v>
      </c>
      <c r="D366" s="295" t="s">
        <v>1054</v>
      </c>
      <c r="E366" s="296">
        <v>5</v>
      </c>
      <c r="F366" s="294">
        <v>18.600000000000001</v>
      </c>
      <c r="G366" s="294">
        <v>22.3</v>
      </c>
      <c r="H366" s="294"/>
      <c r="I366" s="294"/>
      <c r="J366" s="294"/>
      <c r="K366" s="294">
        <f t="shared" si="56"/>
        <v>2.0535999999999999</v>
      </c>
      <c r="L366" s="294">
        <f t="shared" si="57"/>
        <v>0.66435336670543088</v>
      </c>
      <c r="M366" s="297">
        <f t="shared" si="61"/>
        <v>6.9327013030302673</v>
      </c>
      <c r="N366" s="294">
        <v>0</v>
      </c>
      <c r="O366" s="294" t="str">
        <f t="shared" si="53"/>
        <v/>
      </c>
      <c r="P366" s="294"/>
    </row>
    <row r="367" spans="1:16">
      <c r="A367" s="294"/>
      <c r="B367" s="294" t="s">
        <v>548</v>
      </c>
      <c r="C367" s="294" t="s">
        <v>548</v>
      </c>
      <c r="D367" s="295" t="s">
        <v>1054</v>
      </c>
      <c r="E367" s="296">
        <v>6</v>
      </c>
      <c r="F367" s="294">
        <v>20.6</v>
      </c>
      <c r="G367" s="294">
        <v>18.5</v>
      </c>
      <c r="H367" s="294"/>
      <c r="I367" s="294"/>
      <c r="J367" s="294"/>
      <c r="K367" s="294">
        <f t="shared" si="56"/>
        <v>2.0055999999999998</v>
      </c>
      <c r="L367" s="294">
        <f t="shared" si="57"/>
        <v>0.68803058654568494</v>
      </c>
      <c r="M367" s="297">
        <f t="shared" si="61"/>
        <v>6.0832359235252165</v>
      </c>
      <c r="N367" s="294">
        <v>0</v>
      </c>
      <c r="O367" s="294" t="str">
        <f t="shared" si="53"/>
        <v/>
      </c>
      <c r="P367" s="294"/>
    </row>
    <row r="368" spans="1:16">
      <c r="A368" s="294"/>
      <c r="B368" s="294" t="s">
        <v>548</v>
      </c>
      <c r="C368" s="294" t="s">
        <v>548</v>
      </c>
      <c r="D368" s="295" t="s">
        <v>1054</v>
      </c>
      <c r="E368" s="296">
        <v>7</v>
      </c>
      <c r="F368" s="294">
        <v>25.3</v>
      </c>
      <c r="G368" s="294">
        <v>18.399999999999999</v>
      </c>
      <c r="H368" s="294"/>
      <c r="I368" s="294"/>
      <c r="J368" s="294"/>
      <c r="K368" s="294">
        <f t="shared" si="56"/>
        <v>1.8927999999999998</v>
      </c>
      <c r="L368" s="294">
        <f t="shared" si="57"/>
        <v>0.7387049835222731</v>
      </c>
      <c r="M368" s="297">
        <f t="shared" si="61"/>
        <v>6.9001860160486146</v>
      </c>
      <c r="N368" s="294">
        <v>1</v>
      </c>
      <c r="O368" s="294">
        <f t="shared" si="53"/>
        <v>6.9001860160486146</v>
      </c>
      <c r="P368" s="294"/>
    </row>
    <row r="369" spans="1:16">
      <c r="A369" s="294"/>
      <c r="B369" s="294" t="s">
        <v>548</v>
      </c>
      <c r="C369" s="294" t="s">
        <v>548</v>
      </c>
      <c r="D369" s="295" t="s">
        <v>1054</v>
      </c>
      <c r="E369" s="296">
        <v>8</v>
      </c>
      <c r="F369" s="294">
        <v>24.3</v>
      </c>
      <c r="G369" s="294">
        <v>14.2</v>
      </c>
      <c r="H369" s="294"/>
      <c r="I369" s="294"/>
      <c r="J369" s="294"/>
      <c r="K369" s="294">
        <f t="shared" si="56"/>
        <v>1.9167999999999998</v>
      </c>
      <c r="L369" s="294">
        <f t="shared" si="57"/>
        <v>0.7285282125422311</v>
      </c>
      <c r="M369" s="297">
        <f t="shared" si="61"/>
        <v>5.1537299171116384</v>
      </c>
      <c r="N369" s="294">
        <v>0</v>
      </c>
      <c r="O369" s="294" t="str">
        <f t="shared" si="53"/>
        <v/>
      </c>
      <c r="P369" s="294"/>
    </row>
    <row r="370" spans="1:16">
      <c r="A370" s="294"/>
      <c r="B370" s="294" t="s">
        <v>548</v>
      </c>
      <c r="C370" s="294" t="s">
        <v>548</v>
      </c>
      <c r="D370" s="295" t="s">
        <v>1054</v>
      </c>
      <c r="E370" s="296">
        <v>9</v>
      </c>
      <c r="F370" s="294">
        <v>19.8</v>
      </c>
      <c r="G370" s="294">
        <v>12.6</v>
      </c>
      <c r="H370" s="294"/>
      <c r="I370" s="294"/>
      <c r="J370" s="294"/>
      <c r="K370" s="294">
        <f t="shared" si="56"/>
        <v>2.0247999999999999</v>
      </c>
      <c r="L370" s="294">
        <f t="shared" si="57"/>
        <v>0.67870424089302206</v>
      </c>
      <c r="M370" s="297">
        <f t="shared" si="61"/>
        <v>4.0047729618292101</v>
      </c>
      <c r="N370" s="294">
        <v>0</v>
      </c>
      <c r="O370" s="294" t="str">
        <f t="shared" si="53"/>
        <v/>
      </c>
      <c r="P370" s="294"/>
    </row>
    <row r="371" spans="1:16">
      <c r="A371" s="294"/>
      <c r="B371" s="294" t="s">
        <v>548</v>
      </c>
      <c r="C371" s="294" t="s">
        <v>548</v>
      </c>
      <c r="D371" s="295" t="s">
        <v>1054</v>
      </c>
      <c r="E371" s="296">
        <v>10</v>
      </c>
      <c r="F371" s="294">
        <v>13.7</v>
      </c>
      <c r="G371" s="294">
        <v>11.6</v>
      </c>
      <c r="H371" s="294"/>
      <c r="I371" s="294"/>
      <c r="J371" s="294"/>
      <c r="K371" s="294">
        <f t="shared" si="56"/>
        <v>2.1711999999999998</v>
      </c>
      <c r="L371" s="294">
        <f t="shared" si="57"/>
        <v>0.60168134217309577</v>
      </c>
      <c r="M371" s="297">
        <f t="shared" si="61"/>
        <v>3.0170771896898239</v>
      </c>
      <c r="N371" s="294">
        <v>0</v>
      </c>
      <c r="O371" s="294" t="str">
        <f t="shared" si="53"/>
        <v/>
      </c>
      <c r="P371" s="294"/>
    </row>
    <row r="372" spans="1:16">
      <c r="A372" s="294"/>
      <c r="B372" s="294" t="s">
        <v>548</v>
      </c>
      <c r="C372" s="294" t="s">
        <v>548</v>
      </c>
      <c r="D372" s="295" t="s">
        <v>1054</v>
      </c>
      <c r="E372" s="296">
        <v>11</v>
      </c>
      <c r="F372" s="294">
        <v>9.1</v>
      </c>
      <c r="G372" s="294">
        <v>6.3</v>
      </c>
      <c r="H372" s="294"/>
      <c r="I372" s="294"/>
      <c r="J372" s="294"/>
      <c r="K372" s="294">
        <f t="shared" si="56"/>
        <v>2.2816000000000001</v>
      </c>
      <c r="L372" s="294">
        <f t="shared" si="57"/>
        <v>0.53820717400547546</v>
      </c>
      <c r="M372" s="297">
        <f t="shared" si="61"/>
        <v>1.3249002397938159</v>
      </c>
      <c r="N372" s="294">
        <v>0</v>
      </c>
      <c r="O372" s="294" t="str">
        <f t="shared" si="53"/>
        <v/>
      </c>
      <c r="P372" s="294"/>
    </row>
    <row r="373" spans="1:16">
      <c r="A373" s="294"/>
      <c r="B373" s="294" t="s">
        <v>548</v>
      </c>
      <c r="C373" s="294" t="s">
        <v>548</v>
      </c>
      <c r="D373" s="295" t="s">
        <v>1054</v>
      </c>
      <c r="E373" s="296">
        <v>12</v>
      </c>
      <c r="F373" s="294">
        <v>3.7</v>
      </c>
      <c r="G373" s="294">
        <v>5.4</v>
      </c>
      <c r="H373" s="294"/>
      <c r="I373" s="294"/>
      <c r="J373" s="294"/>
      <c r="K373" s="294">
        <f t="shared" si="56"/>
        <v>2.4112</v>
      </c>
      <c r="L373" s="294">
        <f t="shared" si="57"/>
        <v>0.46090951699322635</v>
      </c>
      <c r="M373" s="297">
        <f t="shared" si="61"/>
        <v>0.88055252676525797</v>
      </c>
      <c r="N373" s="294">
        <v>0</v>
      </c>
      <c r="O373" s="294" t="str">
        <f t="shared" si="53"/>
        <v/>
      </c>
      <c r="P373" s="294"/>
    </row>
    <row r="374" spans="1:16">
      <c r="A374" s="294">
        <v>32</v>
      </c>
      <c r="B374" s="294" t="s">
        <v>290</v>
      </c>
      <c r="C374" s="294" t="s">
        <v>549</v>
      </c>
      <c r="D374" s="295" t="s">
        <v>1054</v>
      </c>
      <c r="E374" s="296">
        <v>1</v>
      </c>
      <c r="F374" s="294">
        <v>2.2000000000000002</v>
      </c>
      <c r="G374" s="308">
        <f t="shared" ref="G374:G397" si="62">$T$11+$T$12*H374+INDEX($T$13:$T$24,MATCH(E374,$S$13:$S$24,0),1)</f>
        <v>3.3516000099999994</v>
      </c>
      <c r="H374" s="294">
        <v>29.7</v>
      </c>
      <c r="I374" s="306">
        <v>0.59199999999999997</v>
      </c>
      <c r="J374" s="307">
        <v>1.56</v>
      </c>
      <c r="K374" s="294">
        <f t="shared" si="56"/>
        <v>2.4472</v>
      </c>
      <c r="L374" s="294">
        <f t="shared" si="57"/>
        <v>0.4394062676593285</v>
      </c>
      <c r="M374" s="309">
        <f>$I$374*L374*(G374/K374)+$J$374</f>
        <v>1.9162629610330142</v>
      </c>
      <c r="N374" s="294">
        <v>0</v>
      </c>
      <c r="O374" s="294" t="str">
        <f t="shared" si="53"/>
        <v/>
      </c>
      <c r="P374" s="294">
        <f>AVERAGE(O374:O385)</f>
        <v>5.7716724119027507</v>
      </c>
    </row>
    <row r="375" spans="1:16">
      <c r="A375" s="294"/>
      <c r="B375" s="294" t="s">
        <v>290</v>
      </c>
      <c r="C375" s="294" t="s">
        <v>549</v>
      </c>
      <c r="D375" s="295" t="s">
        <v>1054</v>
      </c>
      <c r="E375" s="296">
        <v>2</v>
      </c>
      <c r="F375" s="294">
        <v>3.1</v>
      </c>
      <c r="G375" s="308">
        <f t="shared" si="62"/>
        <v>7.5015742099999994</v>
      </c>
      <c r="H375" s="294">
        <v>67.7</v>
      </c>
      <c r="I375" s="297"/>
      <c r="J375" s="297"/>
      <c r="K375" s="294">
        <f t="shared" si="56"/>
        <v>2.4256000000000002</v>
      </c>
      <c r="L375" s="294">
        <f t="shared" si="57"/>
        <v>0.45229578234542955</v>
      </c>
      <c r="M375" s="309">
        <f t="shared" ref="M375:M385" si="63">$I$374*L375*(G375/K375)+$J$374</f>
        <v>2.3880898675261686</v>
      </c>
      <c r="N375" s="294">
        <v>0</v>
      </c>
      <c r="O375" s="294" t="str">
        <f t="shared" si="53"/>
        <v/>
      </c>
      <c r="P375" s="294"/>
    </row>
    <row r="376" spans="1:16">
      <c r="A376" s="294"/>
      <c r="B376" s="294" t="s">
        <v>290</v>
      </c>
      <c r="C376" s="294" t="s">
        <v>549</v>
      </c>
      <c r="D376" s="295" t="s">
        <v>1054</v>
      </c>
      <c r="E376" s="296">
        <v>3</v>
      </c>
      <c r="F376" s="294">
        <v>6.4</v>
      </c>
      <c r="G376" s="308">
        <f t="shared" si="62"/>
        <v>12.179399480000001</v>
      </c>
      <c r="H376" s="294">
        <v>134.6</v>
      </c>
      <c r="I376" s="297"/>
      <c r="J376" s="297"/>
      <c r="K376" s="294">
        <f t="shared" si="56"/>
        <v>2.3464</v>
      </c>
      <c r="L376" s="294">
        <f t="shared" si="57"/>
        <v>0.49971367779083725</v>
      </c>
      <c r="M376" s="309">
        <f t="shared" si="63"/>
        <v>3.0955599234577607</v>
      </c>
      <c r="N376" s="294">
        <v>0</v>
      </c>
      <c r="O376" s="294" t="str">
        <f t="shared" si="53"/>
        <v/>
      </c>
      <c r="P376" s="294"/>
    </row>
    <row r="377" spans="1:16">
      <c r="A377" s="294"/>
      <c r="B377" s="294" t="s">
        <v>290</v>
      </c>
      <c r="C377" s="294" t="s">
        <v>549</v>
      </c>
      <c r="D377" s="295" t="s">
        <v>1054</v>
      </c>
      <c r="E377" s="296">
        <v>4</v>
      </c>
      <c r="F377" s="294">
        <v>11.4</v>
      </c>
      <c r="G377" s="308">
        <f t="shared" si="62"/>
        <v>16.35411706</v>
      </c>
      <c r="H377" s="294">
        <v>184.2</v>
      </c>
      <c r="I377" s="297"/>
      <c r="J377" s="297"/>
      <c r="K377" s="294">
        <f t="shared" si="56"/>
        <v>2.2263999999999999</v>
      </c>
      <c r="L377" s="294">
        <f t="shared" si="57"/>
        <v>0.57037959366923263</v>
      </c>
      <c r="M377" s="309">
        <f t="shared" si="63"/>
        <v>4.0403307352466333</v>
      </c>
      <c r="N377" s="294">
        <v>0</v>
      </c>
      <c r="O377" s="294" t="str">
        <f t="shared" si="53"/>
        <v/>
      </c>
      <c r="P377" s="294"/>
    </row>
    <row r="378" spans="1:16">
      <c r="A378" s="294"/>
      <c r="B378" s="294" t="s">
        <v>290</v>
      </c>
      <c r="C378" s="294" t="s">
        <v>549</v>
      </c>
      <c r="D378" s="295" t="s">
        <v>1054</v>
      </c>
      <c r="E378" s="296">
        <v>5</v>
      </c>
      <c r="F378" s="294">
        <v>17.5</v>
      </c>
      <c r="G378" s="308">
        <f t="shared" si="62"/>
        <v>21.165672450000002</v>
      </c>
      <c r="H378" s="294">
        <v>250.5</v>
      </c>
      <c r="I378" s="297"/>
      <c r="J378" s="297"/>
      <c r="K378" s="294">
        <f t="shared" si="56"/>
        <v>2.08</v>
      </c>
      <c r="L378" s="294">
        <f t="shared" si="57"/>
        <v>0.65083174219269035</v>
      </c>
      <c r="M378" s="309">
        <f t="shared" si="63"/>
        <v>5.4806598814353329</v>
      </c>
      <c r="N378" s="294">
        <v>0</v>
      </c>
      <c r="O378" s="294" t="str">
        <f t="shared" si="53"/>
        <v/>
      </c>
      <c r="P378" s="294"/>
    </row>
    <row r="379" spans="1:16">
      <c r="A379" s="294"/>
      <c r="B379" s="294" t="s">
        <v>290</v>
      </c>
      <c r="C379" s="294" t="s">
        <v>549</v>
      </c>
      <c r="D379" s="295" t="s">
        <v>1054</v>
      </c>
      <c r="E379" s="296">
        <v>6</v>
      </c>
      <c r="F379" s="294">
        <v>20.6</v>
      </c>
      <c r="G379" s="308">
        <f t="shared" si="62"/>
        <v>19.669852940000002</v>
      </c>
      <c r="H379" s="294">
        <v>215.8</v>
      </c>
      <c r="I379" s="297"/>
      <c r="J379" s="297"/>
      <c r="K379" s="294">
        <f t="shared" si="56"/>
        <v>2.0055999999999998</v>
      </c>
      <c r="L379" s="294">
        <f t="shared" si="57"/>
        <v>0.68803058654568494</v>
      </c>
      <c r="M379" s="309">
        <f t="shared" si="63"/>
        <v>5.5547190814223857</v>
      </c>
      <c r="N379" s="294">
        <v>0</v>
      </c>
      <c r="O379" s="294" t="str">
        <f t="shared" si="53"/>
        <v/>
      </c>
      <c r="P379" s="294"/>
    </row>
    <row r="380" spans="1:16">
      <c r="A380" s="294"/>
      <c r="B380" s="294" t="s">
        <v>290</v>
      </c>
      <c r="C380" s="294" t="s">
        <v>549</v>
      </c>
      <c r="D380" s="295" t="s">
        <v>1054</v>
      </c>
      <c r="E380" s="296">
        <v>7</v>
      </c>
      <c r="F380" s="294">
        <v>24.4</v>
      </c>
      <c r="G380" s="308">
        <f t="shared" si="62"/>
        <v>18.668269179999996</v>
      </c>
      <c r="H380" s="294">
        <v>202.6</v>
      </c>
      <c r="I380" s="297"/>
      <c r="J380" s="297"/>
      <c r="K380" s="294">
        <f t="shared" si="56"/>
        <v>1.9144000000000001</v>
      </c>
      <c r="L380" s="294">
        <f t="shared" si="57"/>
        <v>0.72956082949628098</v>
      </c>
      <c r="M380" s="309">
        <f t="shared" si="63"/>
        <v>5.7716724119027507</v>
      </c>
      <c r="N380" s="294">
        <v>1</v>
      </c>
      <c r="O380" s="294">
        <f t="shared" si="53"/>
        <v>5.7716724119027507</v>
      </c>
      <c r="P380" s="294"/>
    </row>
    <row r="381" spans="1:16">
      <c r="A381" s="294"/>
      <c r="B381" s="294" t="s">
        <v>290</v>
      </c>
      <c r="C381" s="294" t="s">
        <v>549</v>
      </c>
      <c r="D381" s="295" t="s">
        <v>1054</v>
      </c>
      <c r="E381" s="296">
        <v>8</v>
      </c>
      <c r="F381" s="294">
        <v>25</v>
      </c>
      <c r="G381" s="308">
        <f t="shared" si="62"/>
        <v>17.169919090000004</v>
      </c>
      <c r="H381" s="294">
        <v>186.3</v>
      </c>
      <c r="I381" s="297"/>
      <c r="J381" s="297"/>
      <c r="K381" s="294">
        <f t="shared" si="56"/>
        <v>1.9</v>
      </c>
      <c r="L381" s="294">
        <f t="shared" si="57"/>
        <v>0.73568686129580518</v>
      </c>
      <c r="M381" s="309">
        <f t="shared" si="63"/>
        <v>5.4957667680751676</v>
      </c>
      <c r="N381" s="294">
        <v>0</v>
      </c>
      <c r="O381" s="294" t="str">
        <f t="shared" si="53"/>
        <v/>
      </c>
      <c r="P381" s="294"/>
    </row>
    <row r="382" spans="1:16">
      <c r="A382" s="294"/>
      <c r="B382" s="294" t="s">
        <v>290</v>
      </c>
      <c r="C382" s="294" t="s">
        <v>549</v>
      </c>
      <c r="D382" s="295" t="s">
        <v>1054</v>
      </c>
      <c r="E382" s="296">
        <v>9</v>
      </c>
      <c r="F382" s="294">
        <v>20.5</v>
      </c>
      <c r="G382" s="308">
        <f t="shared" si="62"/>
        <v>12.937515729999999</v>
      </c>
      <c r="H382" s="294">
        <v>132.1</v>
      </c>
      <c r="I382" s="297"/>
      <c r="J382" s="297"/>
      <c r="K382" s="294">
        <f t="shared" si="56"/>
        <v>2.008</v>
      </c>
      <c r="L382" s="294">
        <f t="shared" si="57"/>
        <v>0.6868755481020804</v>
      </c>
      <c r="M382" s="309">
        <f t="shared" si="63"/>
        <v>4.1799134557812945</v>
      </c>
      <c r="N382" s="294">
        <v>0</v>
      </c>
      <c r="O382" s="294" t="str">
        <f t="shared" si="53"/>
        <v/>
      </c>
      <c r="P382" s="294"/>
    </row>
    <row r="383" spans="1:16">
      <c r="A383" s="294"/>
      <c r="B383" s="294" t="s">
        <v>290</v>
      </c>
      <c r="C383" s="294" t="s">
        <v>549</v>
      </c>
      <c r="D383" s="295" t="s">
        <v>1054</v>
      </c>
      <c r="E383" s="296">
        <v>10</v>
      </c>
      <c r="F383" s="294">
        <v>14.5</v>
      </c>
      <c r="G383" s="308">
        <f t="shared" si="62"/>
        <v>11.825385539999999</v>
      </c>
      <c r="H383" s="294">
        <v>173.8</v>
      </c>
      <c r="I383" s="297"/>
      <c r="J383" s="297"/>
      <c r="K383" s="294">
        <f t="shared" si="56"/>
        <v>2.1520000000000001</v>
      </c>
      <c r="L383" s="294">
        <f t="shared" si="57"/>
        <v>0.61231732805409467</v>
      </c>
      <c r="M383" s="309">
        <f t="shared" si="63"/>
        <v>3.551917276217889</v>
      </c>
      <c r="N383" s="294">
        <v>0</v>
      </c>
      <c r="O383" s="294" t="str">
        <f t="shared" si="53"/>
        <v/>
      </c>
      <c r="P383" s="294"/>
    </row>
    <row r="384" spans="1:16">
      <c r="A384" s="294"/>
      <c r="B384" s="294" t="s">
        <v>290</v>
      </c>
      <c r="C384" s="294" t="s">
        <v>549</v>
      </c>
      <c r="D384" s="295" t="s">
        <v>1054</v>
      </c>
      <c r="E384" s="296">
        <v>11</v>
      </c>
      <c r="F384" s="294">
        <v>10.7</v>
      </c>
      <c r="G384" s="308">
        <f t="shared" si="62"/>
        <v>6.4127501999999996</v>
      </c>
      <c r="H384" s="294">
        <v>84</v>
      </c>
      <c r="I384" s="297"/>
      <c r="J384" s="297"/>
      <c r="K384" s="294">
        <f t="shared" si="56"/>
        <v>2.2431999999999999</v>
      </c>
      <c r="L384" s="294">
        <f t="shared" si="57"/>
        <v>0.56066760907995394</v>
      </c>
      <c r="M384" s="309">
        <f t="shared" si="63"/>
        <v>2.5088629737778665</v>
      </c>
      <c r="N384" s="294">
        <v>0</v>
      </c>
      <c r="O384" s="294" t="str">
        <f t="shared" si="53"/>
        <v/>
      </c>
      <c r="P384" s="294"/>
    </row>
    <row r="385" spans="1:16">
      <c r="A385" s="294"/>
      <c r="B385" s="294" t="s">
        <v>290</v>
      </c>
      <c r="C385" s="294" t="s">
        <v>549</v>
      </c>
      <c r="D385" s="295" t="s">
        <v>1054</v>
      </c>
      <c r="E385" s="296">
        <v>12</v>
      </c>
      <c r="F385" s="294">
        <v>5.7</v>
      </c>
      <c r="G385" s="308">
        <f t="shared" si="62"/>
        <v>3.9477263299999992</v>
      </c>
      <c r="H385" s="294">
        <v>58.1</v>
      </c>
      <c r="I385" s="297"/>
      <c r="J385" s="297"/>
      <c r="K385" s="294">
        <f t="shared" si="56"/>
        <v>2.3632</v>
      </c>
      <c r="L385" s="294">
        <f t="shared" si="57"/>
        <v>0.48966257712415773</v>
      </c>
      <c r="M385" s="309">
        <f t="shared" si="63"/>
        <v>2.0442450399157863</v>
      </c>
      <c r="N385" s="294">
        <v>0</v>
      </c>
      <c r="O385" s="294" t="str">
        <f t="shared" si="53"/>
        <v/>
      </c>
      <c r="P385" s="294"/>
    </row>
    <row r="386" spans="1:16">
      <c r="A386" s="294">
        <v>33</v>
      </c>
      <c r="B386" s="294" t="s">
        <v>290</v>
      </c>
      <c r="C386" s="294" t="s">
        <v>289</v>
      </c>
      <c r="D386" s="295" t="s">
        <v>1054</v>
      </c>
      <c r="E386" s="296">
        <v>1</v>
      </c>
      <c r="F386" s="294">
        <v>-0.4</v>
      </c>
      <c r="G386" s="308">
        <f t="shared" si="62"/>
        <v>3.52002142</v>
      </c>
      <c r="H386" s="294">
        <v>33.4</v>
      </c>
      <c r="I386" s="306">
        <v>0.85299999999999998</v>
      </c>
      <c r="J386" s="307">
        <v>0.08</v>
      </c>
      <c r="K386" s="294">
        <f t="shared" si="56"/>
        <v>2.5095999999999998</v>
      </c>
      <c r="L386" s="294">
        <f t="shared" si="57"/>
        <v>0.40253826064384984</v>
      </c>
      <c r="M386" s="309">
        <f>$I$386*L386*(G386/K386)+$J$386</f>
        <v>0.56161166510998484</v>
      </c>
      <c r="N386" s="294">
        <v>0</v>
      </c>
      <c r="O386" s="294" t="str">
        <f t="shared" ref="O386:O449" si="64">IF(N386*M386=0,"",N386*M386)</f>
        <v/>
      </c>
      <c r="P386" s="294">
        <f>AVERAGE(O386:O397)</f>
        <v>5.7320236387178509</v>
      </c>
    </row>
    <row r="387" spans="1:16">
      <c r="A387" s="294"/>
      <c r="B387" s="294" t="s">
        <v>290</v>
      </c>
      <c r="C387" s="294" t="s">
        <v>289</v>
      </c>
      <c r="D387" s="295" t="s">
        <v>1054</v>
      </c>
      <c r="E387" s="296">
        <v>2</v>
      </c>
      <c r="F387" s="294">
        <v>0.6</v>
      </c>
      <c r="G387" s="308">
        <f t="shared" si="62"/>
        <v>7.5516454399999997</v>
      </c>
      <c r="H387" s="294">
        <v>68.8</v>
      </c>
      <c r="I387" s="297"/>
      <c r="J387" s="297"/>
      <c r="K387" s="294">
        <f t="shared" si="56"/>
        <v>2.4855999999999998</v>
      </c>
      <c r="L387" s="294">
        <f t="shared" si="57"/>
        <v>0.41663675030282415</v>
      </c>
      <c r="M387" s="309">
        <f t="shared" ref="M387:M397" si="65">$I$386*L387*(G387/K387)+$J$386</f>
        <v>1.1597344473259221</v>
      </c>
      <c r="N387" s="294">
        <v>0</v>
      </c>
      <c r="O387" s="294" t="str">
        <f t="shared" si="64"/>
        <v/>
      </c>
      <c r="P387" s="294"/>
    </row>
    <row r="388" spans="1:16">
      <c r="A388" s="294"/>
      <c r="B388" s="294" t="s">
        <v>290</v>
      </c>
      <c r="C388" s="294" t="s">
        <v>289</v>
      </c>
      <c r="D388" s="295" t="s">
        <v>1054</v>
      </c>
      <c r="E388" s="296">
        <v>3</v>
      </c>
      <c r="F388" s="294">
        <v>3.6</v>
      </c>
      <c r="G388" s="308">
        <f t="shared" si="62"/>
        <v>11.38281173</v>
      </c>
      <c r="H388" s="294">
        <v>117.1</v>
      </c>
      <c r="I388" s="297"/>
      <c r="J388" s="297"/>
      <c r="K388" s="294">
        <f t="shared" si="56"/>
        <v>2.4136000000000002</v>
      </c>
      <c r="L388" s="294">
        <f t="shared" si="57"/>
        <v>0.45947304623914176</v>
      </c>
      <c r="M388" s="309">
        <f t="shared" si="65"/>
        <v>1.9283887921935383</v>
      </c>
      <c r="N388" s="294">
        <v>0</v>
      </c>
      <c r="O388" s="294" t="str">
        <f t="shared" si="64"/>
        <v/>
      </c>
      <c r="P388" s="294"/>
    </row>
    <row r="389" spans="1:16">
      <c r="A389" s="294"/>
      <c r="B389" s="294" t="s">
        <v>290</v>
      </c>
      <c r="C389" s="294" t="s">
        <v>289</v>
      </c>
      <c r="D389" s="295" t="s">
        <v>1054</v>
      </c>
      <c r="E389" s="296">
        <v>4</v>
      </c>
      <c r="F389" s="294">
        <v>10.1</v>
      </c>
      <c r="G389" s="308">
        <f t="shared" si="62"/>
        <v>16.044585820000002</v>
      </c>
      <c r="H389" s="294">
        <v>177.4</v>
      </c>
      <c r="I389" s="297"/>
      <c r="J389" s="297"/>
      <c r="K389" s="294">
        <f t="shared" si="56"/>
        <v>2.2576000000000001</v>
      </c>
      <c r="L389" s="294">
        <f t="shared" si="57"/>
        <v>0.5522845613647327</v>
      </c>
      <c r="M389" s="309">
        <f t="shared" si="65"/>
        <v>3.4280616658050658</v>
      </c>
      <c r="N389" s="294">
        <v>0</v>
      </c>
      <c r="O389" s="294" t="str">
        <f t="shared" si="64"/>
        <v/>
      </c>
      <c r="P389" s="294"/>
    </row>
    <row r="390" spans="1:16">
      <c r="A390" s="294"/>
      <c r="B390" s="294" t="s">
        <v>290</v>
      </c>
      <c r="C390" s="294" t="s">
        <v>289</v>
      </c>
      <c r="D390" s="295" t="s">
        <v>1054</v>
      </c>
      <c r="E390" s="296">
        <v>5</v>
      </c>
      <c r="F390" s="294">
        <v>16.600000000000001</v>
      </c>
      <c r="G390" s="308">
        <f t="shared" si="62"/>
        <v>20.455571370000001</v>
      </c>
      <c r="H390" s="294">
        <v>234.9</v>
      </c>
      <c r="I390" s="297"/>
      <c r="J390" s="297"/>
      <c r="K390" s="294">
        <f t="shared" si="56"/>
        <v>2.1015999999999999</v>
      </c>
      <c r="L390" s="294">
        <f t="shared" si="57"/>
        <v>0.63951976529868115</v>
      </c>
      <c r="M390" s="309">
        <f t="shared" si="65"/>
        <v>5.3896336590972016</v>
      </c>
      <c r="N390" s="294">
        <v>0</v>
      </c>
      <c r="O390" s="294" t="str">
        <f t="shared" si="64"/>
        <v/>
      </c>
      <c r="P390" s="294"/>
    </row>
    <row r="391" spans="1:16">
      <c r="A391" s="294"/>
      <c r="B391" s="294" t="s">
        <v>290</v>
      </c>
      <c r="C391" s="294" t="s">
        <v>289</v>
      </c>
      <c r="D391" s="295" t="s">
        <v>1054</v>
      </c>
      <c r="E391" s="296">
        <v>6</v>
      </c>
      <c r="F391" s="294">
        <v>19.7</v>
      </c>
      <c r="G391" s="308">
        <f t="shared" si="62"/>
        <v>17.949223399999997</v>
      </c>
      <c r="H391" s="294">
        <v>178</v>
      </c>
      <c r="I391" s="297"/>
      <c r="J391" s="297"/>
      <c r="K391" s="294">
        <f t="shared" si="56"/>
        <v>2.0272000000000001</v>
      </c>
      <c r="L391" s="294">
        <f t="shared" si="57"/>
        <v>0.67752473134026181</v>
      </c>
      <c r="M391" s="309">
        <f t="shared" si="65"/>
        <v>5.1970922828823944</v>
      </c>
      <c r="N391" s="294">
        <v>0</v>
      </c>
      <c r="O391" s="294" t="str">
        <f t="shared" si="64"/>
        <v/>
      </c>
      <c r="P391" s="294"/>
    </row>
    <row r="392" spans="1:16">
      <c r="A392" s="294"/>
      <c r="B392" s="294" t="s">
        <v>290</v>
      </c>
      <c r="C392" s="294" t="s">
        <v>289</v>
      </c>
      <c r="D392" s="295" t="s">
        <v>1054</v>
      </c>
      <c r="E392" s="296">
        <v>7</v>
      </c>
      <c r="F392" s="294">
        <v>24.2</v>
      </c>
      <c r="G392" s="308">
        <f t="shared" si="62"/>
        <v>17.480215449999996</v>
      </c>
      <c r="H392" s="294">
        <v>176.5</v>
      </c>
      <c r="I392" s="297"/>
      <c r="J392" s="297"/>
      <c r="K392" s="294">
        <f t="shared" si="56"/>
        <v>1.9192</v>
      </c>
      <c r="L392" s="294">
        <f t="shared" si="57"/>
        <v>0.72749228525326781</v>
      </c>
      <c r="M392" s="309">
        <f t="shared" si="65"/>
        <v>5.7320236387178509</v>
      </c>
      <c r="N392" s="294">
        <v>1</v>
      </c>
      <c r="O392" s="294">
        <f t="shared" si="64"/>
        <v>5.7320236387178509</v>
      </c>
      <c r="P392" s="294"/>
    </row>
    <row r="393" spans="1:16">
      <c r="A393" s="294"/>
      <c r="B393" s="294" t="s">
        <v>290</v>
      </c>
      <c r="C393" s="294" t="s">
        <v>289</v>
      </c>
      <c r="D393" s="295" t="s">
        <v>1054</v>
      </c>
      <c r="E393" s="296">
        <v>8</v>
      </c>
      <c r="F393" s="294">
        <v>23.8</v>
      </c>
      <c r="G393" s="308">
        <f t="shared" si="62"/>
        <v>15.540328149999999</v>
      </c>
      <c r="H393" s="294">
        <v>150.5</v>
      </c>
      <c r="I393" s="297"/>
      <c r="J393" s="297"/>
      <c r="K393" s="294">
        <f t="shared" si="56"/>
        <v>1.9287999999999998</v>
      </c>
      <c r="L393" s="294">
        <f t="shared" si="57"/>
        <v>0.72331553572267304</v>
      </c>
      <c r="M393" s="309">
        <f t="shared" si="65"/>
        <v>5.051069238022734</v>
      </c>
      <c r="N393" s="294">
        <v>0</v>
      </c>
      <c r="O393" s="294" t="str">
        <f t="shared" si="64"/>
        <v/>
      </c>
      <c r="P393" s="294"/>
    </row>
    <row r="394" spans="1:16">
      <c r="A394" s="294"/>
      <c r="B394" s="294" t="s">
        <v>290</v>
      </c>
      <c r="C394" s="294" t="s">
        <v>289</v>
      </c>
      <c r="D394" s="295" t="s">
        <v>1054</v>
      </c>
      <c r="E394" s="296">
        <v>9</v>
      </c>
      <c r="F394" s="294">
        <v>19</v>
      </c>
      <c r="G394" s="308">
        <f t="shared" si="62"/>
        <v>11.576488659999999</v>
      </c>
      <c r="H394" s="294">
        <v>102.2</v>
      </c>
      <c r="I394" s="297"/>
      <c r="J394" s="297"/>
      <c r="K394" s="294">
        <f t="shared" si="56"/>
        <v>2.044</v>
      </c>
      <c r="L394" s="294">
        <f t="shared" si="57"/>
        <v>0.66918429216402076</v>
      </c>
      <c r="M394" s="309">
        <f t="shared" si="65"/>
        <v>3.312888516312591</v>
      </c>
      <c r="N394" s="294">
        <v>0</v>
      </c>
      <c r="O394" s="294" t="str">
        <f t="shared" si="64"/>
        <v/>
      </c>
      <c r="P394" s="294"/>
    </row>
    <row r="395" spans="1:16">
      <c r="A395" s="294"/>
      <c r="B395" s="294" t="s">
        <v>290</v>
      </c>
      <c r="C395" s="294" t="s">
        <v>289</v>
      </c>
      <c r="D395" s="295" t="s">
        <v>1054</v>
      </c>
      <c r="E395" s="296">
        <v>10</v>
      </c>
      <c r="F395" s="294">
        <v>12</v>
      </c>
      <c r="G395" s="308">
        <f t="shared" si="62"/>
        <v>10.391527589999999</v>
      </c>
      <c r="H395" s="294">
        <v>142.30000000000001</v>
      </c>
      <c r="I395" s="297"/>
      <c r="J395" s="297"/>
      <c r="K395" s="294">
        <f t="shared" si="56"/>
        <v>2.2119999999999997</v>
      </c>
      <c r="L395" s="294">
        <f t="shared" si="57"/>
        <v>0.57864007305957188</v>
      </c>
      <c r="M395" s="309">
        <f t="shared" si="65"/>
        <v>2.3987386998861067</v>
      </c>
      <c r="N395" s="294">
        <v>0</v>
      </c>
      <c r="O395" s="294" t="str">
        <f t="shared" si="64"/>
        <v/>
      </c>
      <c r="P395" s="294"/>
    </row>
    <row r="396" spans="1:16">
      <c r="A396" s="294"/>
      <c r="B396" s="294" t="s">
        <v>290</v>
      </c>
      <c r="C396" s="294" t="s">
        <v>289</v>
      </c>
      <c r="D396" s="295" t="s">
        <v>1054</v>
      </c>
      <c r="E396" s="296">
        <v>11</v>
      </c>
      <c r="F396" s="294">
        <v>8.4</v>
      </c>
      <c r="G396" s="308">
        <f t="shared" si="62"/>
        <v>5.5660912200000006</v>
      </c>
      <c r="H396" s="294">
        <v>65.400000000000006</v>
      </c>
      <c r="I396" s="297"/>
      <c r="J396" s="297"/>
      <c r="K396" s="294">
        <f t="shared" si="56"/>
        <v>2.2984</v>
      </c>
      <c r="L396" s="294">
        <f t="shared" si="57"/>
        <v>0.52828541148097485</v>
      </c>
      <c r="M396" s="309">
        <f t="shared" si="65"/>
        <v>1.171295477852021</v>
      </c>
      <c r="N396" s="294">
        <v>0</v>
      </c>
      <c r="O396" s="294" t="str">
        <f t="shared" si="64"/>
        <v/>
      </c>
      <c r="P396" s="294"/>
    </row>
    <row r="397" spans="1:16">
      <c r="A397" s="294"/>
      <c r="B397" s="294" t="s">
        <v>290</v>
      </c>
      <c r="C397" s="294" t="s">
        <v>289</v>
      </c>
      <c r="D397" s="295" t="s">
        <v>1054</v>
      </c>
      <c r="E397" s="296">
        <v>12</v>
      </c>
      <c r="F397" s="294">
        <v>2.9</v>
      </c>
      <c r="G397" s="308">
        <f t="shared" si="62"/>
        <v>3.6108835099999999</v>
      </c>
      <c r="H397" s="294">
        <v>50.7</v>
      </c>
      <c r="I397" s="297"/>
      <c r="J397" s="297"/>
      <c r="K397" s="294">
        <f t="shared" si="56"/>
        <v>2.4304000000000001</v>
      </c>
      <c r="L397" s="294">
        <f t="shared" si="57"/>
        <v>0.44942773800473362</v>
      </c>
      <c r="M397" s="309">
        <f t="shared" si="65"/>
        <v>0.64956674642342926</v>
      </c>
      <c r="N397" s="294">
        <v>0</v>
      </c>
      <c r="O397" s="294" t="str">
        <f t="shared" si="64"/>
        <v/>
      </c>
      <c r="P397" s="294"/>
    </row>
    <row r="398" spans="1:16">
      <c r="A398" s="294">
        <v>34</v>
      </c>
      <c r="B398" s="294" t="s">
        <v>285</v>
      </c>
      <c r="C398" s="294" t="s">
        <v>284</v>
      </c>
      <c r="D398" s="295" t="s">
        <v>1055</v>
      </c>
      <c r="E398" s="296">
        <v>1</v>
      </c>
      <c r="F398" s="294">
        <v>2.6</v>
      </c>
      <c r="G398" s="294">
        <v>8.3000000000000007</v>
      </c>
      <c r="H398" s="294"/>
      <c r="I398" s="294">
        <v>0.78</v>
      </c>
      <c r="J398" s="294">
        <v>0.41</v>
      </c>
      <c r="K398" s="294">
        <f t="shared" si="56"/>
        <v>2.4376000000000002</v>
      </c>
      <c r="L398" s="294">
        <f t="shared" si="57"/>
        <v>0.44512938582790712</v>
      </c>
      <c r="M398" s="297">
        <f>$I$398*L398*(G398/K398)+$J$398</f>
        <v>1.5922151476246595</v>
      </c>
      <c r="N398" s="294">
        <v>0</v>
      </c>
      <c r="O398" s="294" t="str">
        <f t="shared" si="64"/>
        <v/>
      </c>
      <c r="P398" s="294">
        <f>AVERAGE(O398:O409)</f>
        <v>5.9078140810087056</v>
      </c>
    </row>
    <row r="399" spans="1:16">
      <c r="A399" s="294"/>
      <c r="B399" s="294" t="s">
        <v>285</v>
      </c>
      <c r="C399" s="294" t="s">
        <v>284</v>
      </c>
      <c r="D399" s="295" t="s">
        <v>1055</v>
      </c>
      <c r="E399" s="296">
        <v>2</v>
      </c>
      <c r="F399" s="294">
        <v>3</v>
      </c>
      <c r="G399" s="294">
        <v>10.4</v>
      </c>
      <c r="H399" s="294"/>
      <c r="I399" s="294"/>
      <c r="J399" s="294"/>
      <c r="K399" s="294">
        <f t="shared" si="56"/>
        <v>2.4279999999999999</v>
      </c>
      <c r="L399" s="294">
        <f t="shared" si="57"/>
        <v>0.45086152981994149</v>
      </c>
      <c r="M399" s="297">
        <f t="shared" ref="M399:M409" si="66">$I$398*L399*(G399/K399)+$J$398</f>
        <v>1.9163380271414192</v>
      </c>
      <c r="N399" s="294">
        <v>0</v>
      </c>
      <c r="O399" s="294" t="str">
        <f t="shared" si="64"/>
        <v/>
      </c>
      <c r="P399" s="294"/>
    </row>
    <row r="400" spans="1:16">
      <c r="A400" s="294"/>
      <c r="B400" s="294" t="s">
        <v>285</v>
      </c>
      <c r="C400" s="294" t="s">
        <v>284</v>
      </c>
      <c r="D400" s="295" t="s">
        <v>1055</v>
      </c>
      <c r="E400" s="296">
        <v>3</v>
      </c>
      <c r="F400" s="294">
        <v>6.8</v>
      </c>
      <c r="G400" s="294">
        <v>15.5</v>
      </c>
      <c r="H400" s="294"/>
      <c r="I400" s="294"/>
      <c r="J400" s="294"/>
      <c r="K400" s="294">
        <f t="shared" si="56"/>
        <v>2.3368000000000002</v>
      </c>
      <c r="L400" s="294">
        <f t="shared" si="57"/>
        <v>0.50544832057472966</v>
      </c>
      <c r="M400" s="297">
        <f t="shared" si="66"/>
        <v>3.0250591388858616</v>
      </c>
      <c r="N400" s="294">
        <v>0</v>
      </c>
      <c r="O400" s="294" t="str">
        <f t="shared" si="64"/>
        <v/>
      </c>
      <c r="P400" s="294"/>
    </row>
    <row r="401" spans="1:16">
      <c r="A401" s="294"/>
      <c r="B401" s="294" t="s">
        <v>285</v>
      </c>
      <c r="C401" s="294" t="s">
        <v>284</v>
      </c>
      <c r="D401" s="295" t="s">
        <v>1055</v>
      </c>
      <c r="E401" s="296">
        <v>4</v>
      </c>
      <c r="F401" s="294">
        <v>11.7</v>
      </c>
      <c r="G401" s="294">
        <v>17.5</v>
      </c>
      <c r="H401" s="294"/>
      <c r="I401" s="294"/>
      <c r="J401" s="294"/>
      <c r="K401" s="294">
        <f t="shared" si="56"/>
        <v>2.2191999999999998</v>
      </c>
      <c r="L401" s="294">
        <f t="shared" si="57"/>
        <v>0.57451755988603115</v>
      </c>
      <c r="M401" s="297">
        <f t="shared" si="66"/>
        <v>3.9437800524713076</v>
      </c>
      <c r="N401" s="294">
        <v>0</v>
      </c>
      <c r="O401" s="294" t="str">
        <f t="shared" si="64"/>
        <v/>
      </c>
      <c r="P401" s="294"/>
    </row>
    <row r="402" spans="1:16">
      <c r="A402" s="294"/>
      <c r="B402" s="294" t="s">
        <v>285</v>
      </c>
      <c r="C402" s="294" t="s">
        <v>284</v>
      </c>
      <c r="D402" s="295" t="s">
        <v>1055</v>
      </c>
      <c r="E402" s="296">
        <v>5</v>
      </c>
      <c r="F402" s="294">
        <v>18</v>
      </c>
      <c r="G402" s="294">
        <v>22.6</v>
      </c>
      <c r="H402" s="294"/>
      <c r="I402" s="294"/>
      <c r="J402" s="294"/>
      <c r="K402" s="294">
        <f t="shared" si="56"/>
        <v>2.0680000000000001</v>
      </c>
      <c r="L402" s="294">
        <f t="shared" si="57"/>
        <v>0.65702033496476719</v>
      </c>
      <c r="M402" s="297">
        <f t="shared" si="66"/>
        <v>6.0105582518176588</v>
      </c>
      <c r="N402" s="294">
        <v>0</v>
      </c>
      <c r="O402" s="294" t="str">
        <f t="shared" si="64"/>
        <v/>
      </c>
      <c r="P402" s="294"/>
    </row>
    <row r="403" spans="1:16">
      <c r="A403" s="294"/>
      <c r="B403" s="294" t="s">
        <v>285</v>
      </c>
      <c r="C403" s="294" t="s">
        <v>284</v>
      </c>
      <c r="D403" s="295" t="s">
        <v>1055</v>
      </c>
      <c r="E403" s="296">
        <v>6</v>
      </c>
      <c r="F403" s="294">
        <v>20</v>
      </c>
      <c r="G403" s="294">
        <v>17.899999999999999</v>
      </c>
      <c r="H403" s="294"/>
      <c r="I403" s="294"/>
      <c r="J403" s="294"/>
      <c r="K403" s="294">
        <f t="shared" si="56"/>
        <v>2.02</v>
      </c>
      <c r="L403" s="294">
        <f t="shared" si="57"/>
        <v>0.68105417257260759</v>
      </c>
      <c r="M403" s="297">
        <f t="shared" si="66"/>
        <v>5.1173655234944295</v>
      </c>
      <c r="N403" s="294">
        <v>0</v>
      </c>
      <c r="O403" s="294" t="str">
        <f t="shared" si="64"/>
        <v/>
      </c>
      <c r="P403" s="294"/>
    </row>
    <row r="404" spans="1:16">
      <c r="A404" s="294"/>
      <c r="B404" s="294" t="s">
        <v>285</v>
      </c>
      <c r="C404" s="294" t="s">
        <v>284</v>
      </c>
      <c r="D404" s="295" t="s">
        <v>1055</v>
      </c>
      <c r="E404" s="296">
        <v>7</v>
      </c>
      <c r="F404" s="294">
        <v>24.8</v>
      </c>
      <c r="G404" s="294">
        <v>18.3</v>
      </c>
      <c r="H404" s="294"/>
      <c r="I404" s="294"/>
      <c r="J404" s="294"/>
      <c r="K404" s="294">
        <f t="shared" si="56"/>
        <v>1.9047999999999998</v>
      </c>
      <c r="L404" s="294">
        <f t="shared" si="57"/>
        <v>0.73365813797851909</v>
      </c>
      <c r="M404" s="297">
        <f t="shared" si="66"/>
        <v>5.9078140810087056</v>
      </c>
      <c r="N404" s="294">
        <v>1</v>
      </c>
      <c r="O404" s="294">
        <f t="shared" si="64"/>
        <v>5.9078140810087056</v>
      </c>
      <c r="P404" s="294"/>
    </row>
    <row r="405" spans="1:16">
      <c r="A405" s="294"/>
      <c r="B405" s="294" t="s">
        <v>285</v>
      </c>
      <c r="C405" s="294" t="s">
        <v>284</v>
      </c>
      <c r="D405" s="295" t="s">
        <v>1055</v>
      </c>
      <c r="E405" s="296">
        <v>8</v>
      </c>
      <c r="F405" s="294">
        <v>24.3</v>
      </c>
      <c r="G405" s="294">
        <v>13.1</v>
      </c>
      <c r="H405" s="294"/>
      <c r="I405" s="294"/>
      <c r="J405" s="294"/>
      <c r="K405" s="294">
        <f t="shared" si="56"/>
        <v>1.9167999999999998</v>
      </c>
      <c r="L405" s="294">
        <f t="shared" si="57"/>
        <v>0.7285282125422311</v>
      </c>
      <c r="M405" s="297">
        <f t="shared" si="66"/>
        <v>4.293608762393843</v>
      </c>
      <c r="N405" s="294">
        <v>0</v>
      </c>
      <c r="O405" s="294" t="str">
        <f t="shared" si="64"/>
        <v/>
      </c>
      <c r="P405" s="294"/>
    </row>
    <row r="406" spans="1:16">
      <c r="A406" s="294"/>
      <c r="B406" s="294" t="s">
        <v>285</v>
      </c>
      <c r="C406" s="294" t="s">
        <v>284</v>
      </c>
      <c r="D406" s="295" t="s">
        <v>1055</v>
      </c>
      <c r="E406" s="296">
        <v>9</v>
      </c>
      <c r="F406" s="294">
        <v>20.5</v>
      </c>
      <c r="G406" s="294">
        <v>12.5</v>
      </c>
      <c r="H406" s="294"/>
      <c r="I406" s="294"/>
      <c r="J406" s="294"/>
      <c r="K406" s="294">
        <f t="shared" si="56"/>
        <v>2.008</v>
      </c>
      <c r="L406" s="294">
        <f t="shared" si="57"/>
        <v>0.6868755481020804</v>
      </c>
      <c r="M406" s="297">
        <f t="shared" si="66"/>
        <v>3.7451775866510384</v>
      </c>
      <c r="N406" s="294">
        <v>0</v>
      </c>
      <c r="O406" s="294" t="str">
        <f t="shared" si="64"/>
        <v/>
      </c>
      <c r="P406" s="294"/>
    </row>
    <row r="407" spans="1:16">
      <c r="A407" s="294"/>
      <c r="B407" s="294" t="s">
        <v>285</v>
      </c>
      <c r="C407" s="294" t="s">
        <v>284</v>
      </c>
      <c r="D407" s="295" t="s">
        <v>1055</v>
      </c>
      <c r="E407" s="296">
        <v>10</v>
      </c>
      <c r="F407" s="294">
        <v>15.5</v>
      </c>
      <c r="G407" s="294">
        <v>13.8</v>
      </c>
      <c r="H407" s="294"/>
      <c r="I407" s="294"/>
      <c r="J407" s="294"/>
      <c r="K407" s="294">
        <f t="shared" si="56"/>
        <v>2.1280000000000001</v>
      </c>
      <c r="L407" s="294">
        <f t="shared" si="57"/>
        <v>0.62540609843700268</v>
      </c>
      <c r="M407" s="297">
        <f t="shared" si="66"/>
        <v>3.5734733287480722</v>
      </c>
      <c r="N407" s="294">
        <v>0</v>
      </c>
      <c r="O407" s="294" t="str">
        <f t="shared" si="64"/>
        <v/>
      </c>
      <c r="P407" s="294"/>
    </row>
    <row r="408" spans="1:16">
      <c r="A408" s="294"/>
      <c r="B408" s="294" t="s">
        <v>285</v>
      </c>
      <c r="C408" s="294" t="s">
        <v>284</v>
      </c>
      <c r="D408" s="295" t="s">
        <v>1055</v>
      </c>
      <c r="E408" s="296">
        <v>11</v>
      </c>
      <c r="F408" s="294">
        <v>10.7</v>
      </c>
      <c r="G408" s="294">
        <v>7.8</v>
      </c>
      <c r="H408" s="294"/>
      <c r="I408" s="294"/>
      <c r="J408" s="294"/>
      <c r="K408" s="294">
        <f t="shared" si="56"/>
        <v>2.2431999999999999</v>
      </c>
      <c r="L408" s="294">
        <f t="shared" si="57"/>
        <v>0.56066760907995394</v>
      </c>
      <c r="M408" s="297">
        <f t="shared" si="66"/>
        <v>1.9306409297621432</v>
      </c>
      <c r="N408" s="294">
        <v>0</v>
      </c>
      <c r="O408" s="294" t="str">
        <f t="shared" si="64"/>
        <v/>
      </c>
      <c r="P408" s="294"/>
    </row>
    <row r="409" spans="1:16">
      <c r="A409" s="294"/>
      <c r="B409" s="294" t="s">
        <v>285</v>
      </c>
      <c r="C409" s="294" t="s">
        <v>284</v>
      </c>
      <c r="D409" s="295" t="s">
        <v>1055</v>
      </c>
      <c r="E409" s="296">
        <v>12</v>
      </c>
      <c r="F409" s="294">
        <v>5.9</v>
      </c>
      <c r="G409" s="294">
        <v>7.7</v>
      </c>
      <c r="H409" s="294"/>
      <c r="I409" s="294"/>
      <c r="J409" s="294"/>
      <c r="K409" s="294">
        <f t="shared" si="56"/>
        <v>2.3584000000000001</v>
      </c>
      <c r="L409" s="294">
        <f t="shared" si="57"/>
        <v>0.49253593954393965</v>
      </c>
      <c r="M409" s="297">
        <f t="shared" si="66"/>
        <v>1.6643126072340999</v>
      </c>
      <c r="N409" s="294">
        <v>0</v>
      </c>
      <c r="O409" s="294" t="str">
        <f t="shared" si="64"/>
        <v/>
      </c>
      <c r="P409" s="294"/>
    </row>
    <row r="410" spans="1:16">
      <c r="A410" s="294">
        <v>35</v>
      </c>
      <c r="B410" s="294" t="s">
        <v>285</v>
      </c>
      <c r="C410" s="294" t="s">
        <v>286</v>
      </c>
      <c r="D410" s="295" t="s">
        <v>1055</v>
      </c>
      <c r="E410" s="296">
        <v>1</v>
      </c>
      <c r="F410" s="294">
        <v>1.4</v>
      </c>
      <c r="G410" s="308">
        <f t="shared" ref="G410:G421" si="67">$T$11+$T$12*H410+INDEX($T$13:$T$24,MATCH(E410,$S$13:$S$24,0),1)</f>
        <v>8.9550258400000011</v>
      </c>
      <c r="H410" s="294">
        <v>152.80000000000001</v>
      </c>
      <c r="I410" s="306">
        <v>0.8</v>
      </c>
      <c r="J410" s="307">
        <v>0.12</v>
      </c>
      <c r="K410" s="294">
        <f t="shared" si="56"/>
        <v>2.4664000000000001</v>
      </c>
      <c r="L410" s="294">
        <f t="shared" si="57"/>
        <v>0.42799367509920194</v>
      </c>
      <c r="M410" s="309">
        <f>$I$410*L410*(G410/K410)+$J$410</f>
        <v>1.3631704248686081</v>
      </c>
      <c r="N410" s="294">
        <v>0</v>
      </c>
      <c r="O410" s="294" t="str">
        <f t="shared" si="64"/>
        <v/>
      </c>
      <c r="P410" s="294">
        <f>AVERAGE(O410:O421)</f>
        <v>5.3819923238524225</v>
      </c>
    </row>
    <row r="411" spans="1:16">
      <c r="A411" s="294"/>
      <c r="B411" s="294" t="s">
        <v>285</v>
      </c>
      <c r="C411" s="294" t="s">
        <v>286</v>
      </c>
      <c r="D411" s="295" t="s">
        <v>1055</v>
      </c>
      <c r="E411" s="296">
        <v>2</v>
      </c>
      <c r="F411" s="294">
        <v>2.1</v>
      </c>
      <c r="G411" s="308">
        <f t="shared" si="67"/>
        <v>11.23870874</v>
      </c>
      <c r="H411" s="294">
        <v>149.80000000000001</v>
      </c>
      <c r="I411" s="297"/>
      <c r="J411" s="297"/>
      <c r="K411" s="294">
        <f t="shared" si="56"/>
        <v>2.4496000000000002</v>
      </c>
      <c r="L411" s="294">
        <f t="shared" si="57"/>
        <v>0.43797709139280494</v>
      </c>
      <c r="M411" s="309">
        <f t="shared" ref="M411:M420" si="68">$I$410*L411*(G411/K411)+$J$410</f>
        <v>1.727543097634257</v>
      </c>
      <c r="N411" s="294">
        <v>0</v>
      </c>
      <c r="O411" s="294" t="str">
        <f t="shared" si="64"/>
        <v/>
      </c>
      <c r="P411" s="294"/>
    </row>
    <row r="412" spans="1:16">
      <c r="A412" s="294"/>
      <c r="B412" s="294" t="s">
        <v>285</v>
      </c>
      <c r="C412" s="294" t="s">
        <v>286</v>
      </c>
      <c r="D412" s="295" t="s">
        <v>1055</v>
      </c>
      <c r="E412" s="296">
        <v>3</v>
      </c>
      <c r="F412" s="294">
        <v>5.9</v>
      </c>
      <c r="G412" s="308">
        <f t="shared" si="67"/>
        <v>14.997044150000001</v>
      </c>
      <c r="H412" s="294">
        <v>196.5</v>
      </c>
      <c r="I412" s="297"/>
      <c r="J412" s="297"/>
      <c r="K412" s="294">
        <f t="shared" si="56"/>
        <v>2.3584000000000001</v>
      </c>
      <c r="L412" s="294">
        <f t="shared" si="57"/>
        <v>0.49253593954393965</v>
      </c>
      <c r="M412" s="309">
        <f t="shared" si="68"/>
        <v>2.6256252478976236</v>
      </c>
      <c r="N412" s="294">
        <v>0</v>
      </c>
      <c r="O412" s="294" t="str">
        <f t="shared" si="64"/>
        <v/>
      </c>
      <c r="P412" s="294"/>
    </row>
    <row r="413" spans="1:16">
      <c r="A413" s="294"/>
      <c r="B413" s="294" t="s">
        <v>285</v>
      </c>
      <c r="C413" s="294" t="s">
        <v>286</v>
      </c>
      <c r="D413" s="295" t="s">
        <v>1055</v>
      </c>
      <c r="E413" s="296">
        <v>4</v>
      </c>
      <c r="F413" s="294">
        <v>10.6</v>
      </c>
      <c r="G413" s="308">
        <f t="shared" si="67"/>
        <v>17.328230079999997</v>
      </c>
      <c r="H413" s="294">
        <v>205.6</v>
      </c>
      <c r="I413" s="297"/>
      <c r="J413" s="297"/>
      <c r="K413" s="294">
        <f t="shared" si="56"/>
        <v>2.2456</v>
      </c>
      <c r="L413" s="294">
        <f t="shared" si="57"/>
        <v>0.55927403042310664</v>
      </c>
      <c r="M413" s="309">
        <f t="shared" si="68"/>
        <v>3.572521936922163</v>
      </c>
      <c r="N413" s="294">
        <v>0</v>
      </c>
      <c r="O413" s="294" t="str">
        <f t="shared" si="64"/>
        <v/>
      </c>
      <c r="P413" s="294"/>
    </row>
    <row r="414" spans="1:16">
      <c r="A414" s="294"/>
      <c r="B414" s="294" t="s">
        <v>285</v>
      </c>
      <c r="C414" s="294" t="s">
        <v>286</v>
      </c>
      <c r="D414" s="295" t="s">
        <v>1055</v>
      </c>
      <c r="E414" s="296">
        <v>5</v>
      </c>
      <c r="F414" s="294">
        <v>16.3</v>
      </c>
      <c r="G414" s="308">
        <f t="shared" si="67"/>
        <v>21.548034569999999</v>
      </c>
      <c r="H414" s="294">
        <v>258.89999999999998</v>
      </c>
      <c r="I414" s="297"/>
      <c r="J414" s="297"/>
      <c r="K414" s="294">
        <f t="shared" si="56"/>
        <v>2.1088</v>
      </c>
      <c r="L414" s="294">
        <f t="shared" si="57"/>
        <v>0.63570126432395468</v>
      </c>
      <c r="M414" s="309">
        <f t="shared" si="68"/>
        <v>5.316552663067255</v>
      </c>
      <c r="N414" s="294">
        <v>0</v>
      </c>
      <c r="O414" s="294" t="str">
        <f t="shared" si="64"/>
        <v/>
      </c>
      <c r="P414" s="294"/>
    </row>
    <row r="415" spans="1:16">
      <c r="A415" s="294"/>
      <c r="B415" s="294" t="s">
        <v>285</v>
      </c>
      <c r="C415" s="294" t="s">
        <v>286</v>
      </c>
      <c r="D415" s="295" t="s">
        <v>1055</v>
      </c>
      <c r="E415" s="296">
        <v>6</v>
      </c>
      <c r="F415" s="294">
        <v>18.899999999999999</v>
      </c>
      <c r="G415" s="308">
        <f t="shared" si="67"/>
        <v>17.853632869999998</v>
      </c>
      <c r="H415" s="294">
        <v>175.9</v>
      </c>
      <c r="I415" s="297"/>
      <c r="J415" s="297"/>
      <c r="K415" s="294">
        <f t="shared" si="56"/>
        <v>2.0464000000000002</v>
      </c>
      <c r="L415" s="294">
        <f t="shared" si="57"/>
        <v>0.66798094574788913</v>
      </c>
      <c r="M415" s="309">
        <f t="shared" si="68"/>
        <v>4.7821917785528525</v>
      </c>
      <c r="N415" s="294">
        <v>0</v>
      </c>
      <c r="O415" s="294" t="str">
        <f t="shared" si="64"/>
        <v/>
      </c>
      <c r="P415" s="294"/>
    </row>
    <row r="416" spans="1:16">
      <c r="A416" s="294"/>
      <c r="B416" s="294" t="s">
        <v>285</v>
      </c>
      <c r="C416" s="294" t="s">
        <v>286</v>
      </c>
      <c r="D416" s="295" t="s">
        <v>1055</v>
      </c>
      <c r="E416" s="296">
        <v>7</v>
      </c>
      <c r="F416" s="294">
        <v>23.4</v>
      </c>
      <c r="G416" s="308">
        <f t="shared" si="67"/>
        <v>17.730571599999998</v>
      </c>
      <c r="H416" s="294">
        <v>182</v>
      </c>
      <c r="I416" s="297"/>
      <c r="J416" s="297"/>
      <c r="K416" s="294">
        <f t="shared" si="56"/>
        <v>1.9384000000000001</v>
      </c>
      <c r="L416" s="294">
        <f t="shared" si="57"/>
        <v>0.71908608973973653</v>
      </c>
      <c r="M416" s="309">
        <f t="shared" si="68"/>
        <v>5.3819923238524225</v>
      </c>
      <c r="N416" s="294">
        <v>1</v>
      </c>
      <c r="O416" s="294">
        <f t="shared" si="64"/>
        <v>5.3819923238524225</v>
      </c>
      <c r="P416" s="294"/>
    </row>
    <row r="417" spans="1:16">
      <c r="A417" s="294"/>
      <c r="B417" s="294" t="s">
        <v>285</v>
      </c>
      <c r="C417" s="294" t="s">
        <v>286</v>
      </c>
      <c r="D417" s="295" t="s">
        <v>1055</v>
      </c>
      <c r="E417" s="296">
        <v>8</v>
      </c>
      <c r="F417" s="294">
        <v>23.5</v>
      </c>
      <c r="G417" s="308">
        <f t="shared" si="67"/>
        <v>14.91671374</v>
      </c>
      <c r="H417" s="294">
        <v>136.80000000000001</v>
      </c>
      <c r="I417" s="297"/>
      <c r="J417" s="297"/>
      <c r="K417" s="294">
        <f t="shared" si="56"/>
        <v>1.9359999999999999</v>
      </c>
      <c r="L417" s="294">
        <f t="shared" si="57"/>
        <v>0.72014837826643319</v>
      </c>
      <c r="M417" s="309">
        <f t="shared" si="68"/>
        <v>4.5589451276552158</v>
      </c>
      <c r="N417" s="294">
        <v>0</v>
      </c>
      <c r="O417" s="294" t="str">
        <f t="shared" si="64"/>
        <v/>
      </c>
      <c r="P417" s="294"/>
    </row>
    <row r="418" spans="1:16">
      <c r="A418" s="294"/>
      <c r="B418" s="294" t="s">
        <v>285</v>
      </c>
      <c r="C418" s="294" t="s">
        <v>286</v>
      </c>
      <c r="D418" s="295" t="s">
        <v>1055</v>
      </c>
      <c r="E418" s="296">
        <v>9</v>
      </c>
      <c r="F418" s="294">
        <v>19.8</v>
      </c>
      <c r="G418" s="308">
        <f t="shared" si="67"/>
        <v>13.338085570000001</v>
      </c>
      <c r="H418" s="294">
        <v>140.9</v>
      </c>
      <c r="I418" s="297"/>
      <c r="J418" s="297"/>
      <c r="K418" s="294">
        <f t="shared" si="56"/>
        <v>2.0247999999999999</v>
      </c>
      <c r="L418" s="294">
        <f t="shared" si="57"/>
        <v>0.67870424089302206</v>
      </c>
      <c r="M418" s="309">
        <f t="shared" si="68"/>
        <v>3.6966950777372669</v>
      </c>
      <c r="N418" s="294">
        <v>0</v>
      </c>
      <c r="O418" s="294" t="str">
        <f t="shared" si="64"/>
        <v/>
      </c>
      <c r="P418" s="294"/>
    </row>
    <row r="419" spans="1:16">
      <c r="A419" s="294"/>
      <c r="B419" s="294" t="s">
        <v>285</v>
      </c>
      <c r="C419" s="294" t="s">
        <v>286</v>
      </c>
      <c r="D419" s="295" t="s">
        <v>1055</v>
      </c>
      <c r="E419" s="296">
        <v>10</v>
      </c>
      <c r="F419" s="294">
        <v>14.3</v>
      </c>
      <c r="G419" s="308">
        <f t="shared" si="67"/>
        <v>13.664365259999997</v>
      </c>
      <c r="H419" s="294">
        <v>214.2</v>
      </c>
      <c r="I419" s="297"/>
      <c r="J419" s="297"/>
      <c r="K419" s="294">
        <f t="shared" si="56"/>
        <v>2.1568000000000001</v>
      </c>
      <c r="L419" s="294">
        <f t="shared" si="57"/>
        <v>0.60967164273634389</v>
      </c>
      <c r="M419" s="309">
        <f t="shared" si="68"/>
        <v>3.2100504506727106</v>
      </c>
      <c r="N419" s="294">
        <v>0</v>
      </c>
      <c r="O419" s="294" t="str">
        <f t="shared" si="64"/>
        <v/>
      </c>
      <c r="P419" s="294"/>
    </row>
    <row r="420" spans="1:16">
      <c r="A420" s="294"/>
      <c r="B420" s="294" t="s">
        <v>285</v>
      </c>
      <c r="C420" s="294" t="s">
        <v>286</v>
      </c>
      <c r="D420" s="295" t="s">
        <v>1055</v>
      </c>
      <c r="E420" s="296">
        <v>11</v>
      </c>
      <c r="F420" s="294">
        <v>9.6</v>
      </c>
      <c r="G420" s="308">
        <f t="shared" si="67"/>
        <v>8.7615460799999987</v>
      </c>
      <c r="H420" s="294">
        <v>135.6</v>
      </c>
      <c r="I420" s="297"/>
      <c r="J420" s="297"/>
      <c r="K420" s="294">
        <f t="shared" si="56"/>
        <v>2.2696000000000001</v>
      </c>
      <c r="L420" s="294">
        <f t="shared" si="57"/>
        <v>0.54526128290874298</v>
      </c>
      <c r="M420" s="309">
        <f t="shared" si="68"/>
        <v>1.8039379118240633</v>
      </c>
      <c r="N420" s="294">
        <v>0</v>
      </c>
      <c r="O420" s="294" t="str">
        <f t="shared" si="64"/>
        <v/>
      </c>
      <c r="P420" s="294"/>
    </row>
    <row r="421" spans="1:16">
      <c r="A421" s="294"/>
      <c r="B421" s="294" t="s">
        <v>285</v>
      </c>
      <c r="C421" s="294" t="s">
        <v>286</v>
      </c>
      <c r="D421" s="295" t="s">
        <v>1055</v>
      </c>
      <c r="E421" s="296">
        <v>12</v>
      </c>
      <c r="F421" s="294">
        <v>4.5999999999999996</v>
      </c>
      <c r="G421" s="308">
        <f t="shared" si="67"/>
        <v>8.33123492</v>
      </c>
      <c r="H421" s="294">
        <v>154.4</v>
      </c>
      <c r="I421" s="297"/>
      <c r="J421" s="297"/>
      <c r="K421" s="294">
        <f t="shared" si="56"/>
        <v>2.3896000000000002</v>
      </c>
      <c r="L421" s="294">
        <f t="shared" si="57"/>
        <v>0.47384714452252824</v>
      </c>
      <c r="M421" s="309">
        <f>$I$410*L421*(G421/K421)+$J$410</f>
        <v>1.4416377225270756</v>
      </c>
      <c r="N421" s="294">
        <v>0</v>
      </c>
      <c r="O421" s="294" t="str">
        <f t="shared" si="64"/>
        <v/>
      </c>
      <c r="P421" s="294"/>
    </row>
    <row r="422" spans="1:16">
      <c r="A422" s="294">
        <v>36</v>
      </c>
      <c r="B422" s="294" t="s">
        <v>550</v>
      </c>
      <c r="C422" s="294" t="s">
        <v>550</v>
      </c>
      <c r="D422" s="295" t="s">
        <v>1055</v>
      </c>
      <c r="E422" s="296">
        <v>1</v>
      </c>
      <c r="F422" s="294">
        <v>2.2999999999999998</v>
      </c>
      <c r="G422" s="294">
        <v>7.4</v>
      </c>
      <c r="H422" s="294"/>
      <c r="I422" s="294">
        <v>1.0620000000000001</v>
      </c>
      <c r="J422" s="294">
        <v>-0.25</v>
      </c>
      <c r="K422" s="294">
        <f t="shared" si="56"/>
        <v>2.4447999999999999</v>
      </c>
      <c r="L422" s="294">
        <f t="shared" si="57"/>
        <v>0.44083611089147634</v>
      </c>
      <c r="M422" s="297">
        <f>$I$422*L422*(G422/K422)+$J$422</f>
        <v>1.1670659474288019</v>
      </c>
      <c r="N422" s="294">
        <v>0</v>
      </c>
      <c r="O422" s="294" t="str">
        <f t="shared" si="64"/>
        <v/>
      </c>
      <c r="P422" s="294">
        <f>AVERAGE(O422:O433)</f>
        <v>6.6234779459871662</v>
      </c>
    </row>
    <row r="423" spans="1:16">
      <c r="A423" s="294"/>
      <c r="B423" s="294" t="s">
        <v>550</v>
      </c>
      <c r="C423" s="294" t="s">
        <v>550</v>
      </c>
      <c r="D423" s="295" t="s">
        <v>1055</v>
      </c>
      <c r="E423" s="296">
        <v>2</v>
      </c>
      <c r="F423" s="294">
        <v>2.9</v>
      </c>
      <c r="G423" s="294">
        <v>9.8000000000000007</v>
      </c>
      <c r="H423" s="294"/>
      <c r="I423" s="294"/>
      <c r="J423" s="294"/>
      <c r="K423" s="294">
        <f t="shared" si="56"/>
        <v>2.4304000000000001</v>
      </c>
      <c r="L423" s="294">
        <f t="shared" si="57"/>
        <v>0.44942773800473362</v>
      </c>
      <c r="M423" s="297">
        <f t="shared" ref="M423:M433" si="69">$I$422*L423*(G423/K423)+$J$422</f>
        <v>1.6745655554880126</v>
      </c>
      <c r="N423" s="294">
        <v>0</v>
      </c>
      <c r="O423" s="294" t="str">
        <f t="shared" si="64"/>
        <v/>
      </c>
      <c r="P423" s="294"/>
    </row>
    <row r="424" spans="1:16">
      <c r="A424" s="294"/>
      <c r="B424" s="294" t="s">
        <v>550</v>
      </c>
      <c r="C424" s="294" t="s">
        <v>550</v>
      </c>
      <c r="D424" s="295" t="s">
        <v>1055</v>
      </c>
      <c r="E424" s="296">
        <v>3</v>
      </c>
      <c r="F424" s="294">
        <v>7</v>
      </c>
      <c r="G424" s="294">
        <v>14.1</v>
      </c>
      <c r="H424" s="294"/>
      <c r="I424" s="294"/>
      <c r="J424" s="294"/>
      <c r="K424" s="294">
        <f t="shared" si="56"/>
        <v>2.3319999999999999</v>
      </c>
      <c r="L424" s="294">
        <f t="shared" si="57"/>
        <v>0.50831255550801102</v>
      </c>
      <c r="M424" s="297">
        <f t="shared" si="69"/>
        <v>3.0139682112727528</v>
      </c>
      <c r="N424" s="294">
        <v>0</v>
      </c>
      <c r="O424" s="294" t="str">
        <f t="shared" si="64"/>
        <v/>
      </c>
      <c r="P424" s="294"/>
    </row>
    <row r="425" spans="1:16">
      <c r="A425" s="294"/>
      <c r="B425" s="294" t="s">
        <v>550</v>
      </c>
      <c r="C425" s="294" t="s">
        <v>550</v>
      </c>
      <c r="D425" s="295" t="s">
        <v>1055</v>
      </c>
      <c r="E425" s="296">
        <v>4</v>
      </c>
      <c r="F425" s="294">
        <v>13.1</v>
      </c>
      <c r="G425" s="294">
        <v>16.399999999999999</v>
      </c>
      <c r="H425" s="294"/>
      <c r="I425" s="294"/>
      <c r="J425" s="294"/>
      <c r="K425" s="294">
        <f t="shared" si="56"/>
        <v>2.1856</v>
      </c>
      <c r="L425" s="294">
        <f t="shared" si="57"/>
        <v>0.59361437367566949</v>
      </c>
      <c r="M425" s="297">
        <f t="shared" si="69"/>
        <v>4.4804460209710832</v>
      </c>
      <c r="N425" s="294">
        <v>0</v>
      </c>
      <c r="O425" s="294" t="str">
        <f t="shared" si="64"/>
        <v/>
      </c>
      <c r="P425" s="294"/>
    </row>
    <row r="426" spans="1:16">
      <c r="A426" s="294"/>
      <c r="B426" s="294" t="s">
        <v>550</v>
      </c>
      <c r="C426" s="294" t="s">
        <v>550</v>
      </c>
      <c r="D426" s="295" t="s">
        <v>1055</v>
      </c>
      <c r="E426" s="296">
        <v>5</v>
      </c>
      <c r="F426" s="294">
        <v>19.8</v>
      </c>
      <c r="G426" s="294">
        <v>22.1</v>
      </c>
      <c r="H426" s="294"/>
      <c r="I426" s="294"/>
      <c r="J426" s="294"/>
      <c r="K426" s="294">
        <f t="shared" si="56"/>
        <v>2.0247999999999999</v>
      </c>
      <c r="L426" s="294">
        <f t="shared" si="57"/>
        <v>0.67870424089302206</v>
      </c>
      <c r="M426" s="297">
        <f t="shared" si="69"/>
        <v>7.6171099736306829</v>
      </c>
      <c r="N426" s="294">
        <v>0</v>
      </c>
      <c r="O426" s="294" t="str">
        <f t="shared" si="64"/>
        <v/>
      </c>
      <c r="P426" s="294"/>
    </row>
    <row r="427" spans="1:16">
      <c r="A427" s="294"/>
      <c r="B427" s="294" t="s">
        <v>550</v>
      </c>
      <c r="C427" s="294" t="s">
        <v>550</v>
      </c>
      <c r="D427" s="295" t="s">
        <v>1055</v>
      </c>
      <c r="E427" s="296">
        <v>6</v>
      </c>
      <c r="F427" s="294">
        <v>21.3</v>
      </c>
      <c r="G427" s="294">
        <v>16.399999999999999</v>
      </c>
      <c r="H427" s="294"/>
      <c r="I427" s="294"/>
      <c r="J427" s="294"/>
      <c r="K427" s="294">
        <f t="shared" si="56"/>
        <v>1.9887999999999999</v>
      </c>
      <c r="L427" s="294">
        <f t="shared" si="57"/>
        <v>0.69602860950497947</v>
      </c>
      <c r="M427" s="297">
        <f t="shared" si="69"/>
        <v>5.8454299507372918</v>
      </c>
      <c r="N427" s="294">
        <v>0</v>
      </c>
      <c r="O427" s="294" t="str">
        <f t="shared" si="64"/>
        <v/>
      </c>
      <c r="P427" s="294"/>
    </row>
    <row r="428" spans="1:16">
      <c r="A428" s="294"/>
      <c r="B428" s="294" t="s">
        <v>550</v>
      </c>
      <c r="C428" s="294" t="s">
        <v>550</v>
      </c>
      <c r="D428" s="295" t="s">
        <v>1055</v>
      </c>
      <c r="E428" s="296">
        <v>7</v>
      </c>
      <c r="F428" s="294">
        <v>26.2</v>
      </c>
      <c r="G428" s="294">
        <v>16.2</v>
      </c>
      <c r="H428" s="294"/>
      <c r="I428" s="294"/>
      <c r="J428" s="294"/>
      <c r="K428" s="294">
        <f t="shared" si="56"/>
        <v>1.8712</v>
      </c>
      <c r="L428" s="294">
        <f t="shared" si="57"/>
        <v>0.74757921999786014</v>
      </c>
      <c r="M428" s="297">
        <f t="shared" si="69"/>
        <v>6.6234779459871662</v>
      </c>
      <c r="N428" s="294">
        <v>1</v>
      </c>
      <c r="O428" s="294">
        <f t="shared" si="64"/>
        <v>6.6234779459871662</v>
      </c>
      <c r="P428" s="294"/>
    </row>
    <row r="429" spans="1:16">
      <c r="A429" s="294"/>
      <c r="B429" s="294" t="s">
        <v>550</v>
      </c>
      <c r="C429" s="294" t="s">
        <v>550</v>
      </c>
      <c r="D429" s="295" t="s">
        <v>1055</v>
      </c>
      <c r="E429" s="296">
        <v>8</v>
      </c>
      <c r="F429" s="294">
        <v>24.7</v>
      </c>
      <c r="G429" s="294">
        <v>12.3</v>
      </c>
      <c r="H429" s="294"/>
      <c r="I429" s="294"/>
      <c r="J429" s="294"/>
      <c r="K429" s="294">
        <f t="shared" si="56"/>
        <v>1.9072</v>
      </c>
      <c r="L429" s="294">
        <f t="shared" si="57"/>
        <v>0.73263879001027088</v>
      </c>
      <c r="M429" s="297">
        <f t="shared" si="69"/>
        <v>4.7679149844736601</v>
      </c>
      <c r="N429" s="294">
        <v>0</v>
      </c>
      <c r="O429" s="294" t="str">
        <f t="shared" si="64"/>
        <v/>
      </c>
      <c r="P429" s="294"/>
    </row>
    <row r="430" spans="1:16">
      <c r="A430" s="294"/>
      <c r="B430" s="294" t="s">
        <v>550</v>
      </c>
      <c r="C430" s="294" t="s">
        <v>550</v>
      </c>
      <c r="D430" s="295" t="s">
        <v>1055</v>
      </c>
      <c r="E430" s="296">
        <v>9</v>
      </c>
      <c r="F430" s="294">
        <v>20.7</v>
      </c>
      <c r="G430" s="294">
        <v>11.7</v>
      </c>
      <c r="H430" s="294"/>
      <c r="I430" s="294"/>
      <c r="J430" s="294"/>
      <c r="K430" s="294">
        <f t="shared" si="56"/>
        <v>2.0032000000000001</v>
      </c>
      <c r="L430" s="294">
        <f t="shared" si="57"/>
        <v>0.68918252559756299</v>
      </c>
      <c r="M430" s="297">
        <f t="shared" si="69"/>
        <v>4.024844525539117</v>
      </c>
      <c r="N430" s="294">
        <v>0</v>
      </c>
      <c r="O430" s="294" t="str">
        <f t="shared" si="64"/>
        <v/>
      </c>
      <c r="P430" s="294"/>
    </row>
    <row r="431" spans="1:16">
      <c r="A431" s="294"/>
      <c r="B431" s="294" t="s">
        <v>550</v>
      </c>
      <c r="C431" s="294" t="s">
        <v>550</v>
      </c>
      <c r="D431" s="295" t="s">
        <v>1055</v>
      </c>
      <c r="E431" s="296">
        <v>10</v>
      </c>
      <c r="F431" s="294">
        <v>15.8</v>
      </c>
      <c r="G431" s="294">
        <v>13</v>
      </c>
      <c r="H431" s="294"/>
      <c r="I431" s="294"/>
      <c r="J431" s="294"/>
      <c r="K431" s="294">
        <f t="shared" si="56"/>
        <v>2.1208</v>
      </c>
      <c r="L431" s="294">
        <f t="shared" si="57"/>
        <v>0.62928564442883417</v>
      </c>
      <c r="M431" s="297">
        <f t="shared" si="69"/>
        <v>3.8465284831122624</v>
      </c>
      <c r="N431" s="294">
        <v>0</v>
      </c>
      <c r="O431" s="294" t="str">
        <f t="shared" si="64"/>
        <v/>
      </c>
      <c r="P431" s="294"/>
    </row>
    <row r="432" spans="1:16">
      <c r="A432" s="294"/>
      <c r="B432" s="294" t="s">
        <v>550</v>
      </c>
      <c r="C432" s="294" t="s">
        <v>550</v>
      </c>
      <c r="D432" s="295" t="s">
        <v>1055</v>
      </c>
      <c r="E432" s="296">
        <v>11</v>
      </c>
      <c r="F432" s="294">
        <v>10.7</v>
      </c>
      <c r="G432" s="294">
        <v>6.5</v>
      </c>
      <c r="H432" s="294"/>
      <c r="I432" s="294"/>
      <c r="J432" s="294"/>
      <c r="K432" s="294">
        <f t="shared" si="56"/>
        <v>2.2431999999999999</v>
      </c>
      <c r="L432" s="294">
        <f t="shared" si="57"/>
        <v>0.56066760907995394</v>
      </c>
      <c r="M432" s="297">
        <f t="shared" si="69"/>
        <v>1.4753425933839708</v>
      </c>
      <c r="N432" s="294">
        <v>0</v>
      </c>
      <c r="O432" s="294" t="str">
        <f t="shared" si="64"/>
        <v/>
      </c>
      <c r="P432" s="294"/>
    </row>
    <row r="433" spans="1:16">
      <c r="A433" s="294"/>
      <c r="B433" s="294" t="s">
        <v>550</v>
      </c>
      <c r="C433" s="294" t="s">
        <v>550</v>
      </c>
      <c r="D433" s="295" t="s">
        <v>1055</v>
      </c>
      <c r="E433" s="296">
        <v>12</v>
      </c>
      <c r="F433" s="294">
        <v>5.8</v>
      </c>
      <c r="G433" s="294">
        <v>6.8</v>
      </c>
      <c r="H433" s="294"/>
      <c r="I433" s="294"/>
      <c r="J433" s="294"/>
      <c r="K433" s="294">
        <f t="shared" si="56"/>
        <v>2.3608000000000002</v>
      </c>
      <c r="L433" s="294">
        <f t="shared" si="57"/>
        <v>0.49109939417523152</v>
      </c>
      <c r="M433" s="297">
        <f t="shared" si="69"/>
        <v>1.252254907224607</v>
      </c>
      <c r="N433" s="294">
        <v>0</v>
      </c>
      <c r="O433" s="294" t="str">
        <f t="shared" si="64"/>
        <v/>
      </c>
      <c r="P433" s="294"/>
    </row>
    <row r="434" spans="1:16">
      <c r="A434" s="294">
        <v>37</v>
      </c>
      <c r="B434" s="294" t="s">
        <v>551</v>
      </c>
      <c r="C434" s="294" t="s">
        <v>292</v>
      </c>
      <c r="D434" s="295" t="s">
        <v>1055</v>
      </c>
      <c r="E434" s="296">
        <v>1</v>
      </c>
      <c r="F434" s="294">
        <v>-0.5</v>
      </c>
      <c r="G434" s="308">
        <f t="shared" ref="G434:G469" si="70">$T$11+$T$12*H434+INDEX($T$13:$T$24,MATCH(E434,$S$13:$S$24,0),1)</f>
        <v>5.1223007800000007</v>
      </c>
      <c r="H434" s="294">
        <v>68.599999999999994</v>
      </c>
      <c r="I434" s="306">
        <v>0.99399999999999999</v>
      </c>
      <c r="J434" s="307">
        <v>-0.18</v>
      </c>
      <c r="K434" s="294">
        <f t="shared" ref="K434:K469" si="71">2.5-0.024*F434</f>
        <v>2.512</v>
      </c>
      <c r="L434" s="294">
        <f t="shared" ref="L434:L469" si="72">1/(1.05+1.4*EXP(-0.0604*F434))</f>
        <v>0.40113522815397029</v>
      </c>
      <c r="M434" s="309">
        <f>$I$434*L434*(G434/K434)+$J$434</f>
        <v>0.63306006381616586</v>
      </c>
      <c r="N434" s="294">
        <v>0</v>
      </c>
      <c r="O434" s="294" t="str">
        <f t="shared" si="64"/>
        <v/>
      </c>
      <c r="P434" s="294">
        <f>AVERAGE(O434:O445)</f>
        <v>6.4164833750104231</v>
      </c>
    </row>
    <row r="435" spans="1:16">
      <c r="A435" s="294"/>
      <c r="B435" s="294" t="s">
        <v>551</v>
      </c>
      <c r="C435" s="294" t="s">
        <v>292</v>
      </c>
      <c r="D435" s="295" t="s">
        <v>1055</v>
      </c>
      <c r="E435" s="296">
        <v>2</v>
      </c>
      <c r="F435" s="294">
        <v>0.5</v>
      </c>
      <c r="G435" s="308">
        <f t="shared" si="70"/>
        <v>8.3618889799999998</v>
      </c>
      <c r="H435" s="294">
        <v>86.6</v>
      </c>
      <c r="I435" s="297"/>
      <c r="J435" s="297"/>
      <c r="K435" s="294">
        <f t="shared" si="71"/>
        <v>2.488</v>
      </c>
      <c r="L435" s="294">
        <f>1/(1.05+1.4*EXP(-0.0604*F435))</f>
        <v>0.41522168665234183</v>
      </c>
      <c r="M435" s="309">
        <f t="shared" ref="M435:M445" si="73">$I$434*L435*(G435/K435)+$J$434</f>
        <v>1.2071404421221781</v>
      </c>
      <c r="N435" s="294">
        <v>0</v>
      </c>
      <c r="O435" s="294" t="str">
        <f t="shared" si="64"/>
        <v/>
      </c>
      <c r="P435" s="294"/>
    </row>
    <row r="436" spans="1:16">
      <c r="A436" s="294"/>
      <c r="B436" s="294" t="s">
        <v>551</v>
      </c>
      <c r="C436" s="294" t="s">
        <v>292</v>
      </c>
      <c r="D436" s="295" t="s">
        <v>1055</v>
      </c>
      <c r="E436" s="296">
        <v>3</v>
      </c>
      <c r="F436" s="294">
        <v>3.9</v>
      </c>
      <c r="G436" s="308">
        <f t="shared" si="70"/>
        <v>12.793910029999999</v>
      </c>
      <c r="H436" s="294">
        <v>148.1</v>
      </c>
      <c r="I436" s="297"/>
      <c r="J436" s="297"/>
      <c r="K436" s="294">
        <f t="shared" si="71"/>
        <v>2.4064000000000001</v>
      </c>
      <c r="L436" s="294">
        <f t="shared" si="72"/>
        <v>0.46378326771227446</v>
      </c>
      <c r="M436" s="309">
        <f t="shared" si="73"/>
        <v>2.2709640093613119</v>
      </c>
      <c r="N436" s="294">
        <v>0</v>
      </c>
      <c r="O436" s="294" t="str">
        <f t="shared" si="64"/>
        <v/>
      </c>
      <c r="P436" s="294"/>
    </row>
    <row r="437" spans="1:16">
      <c r="A437" s="294"/>
      <c r="B437" s="294" t="s">
        <v>551</v>
      </c>
      <c r="C437" s="294" t="s">
        <v>292</v>
      </c>
      <c r="D437" s="295" t="s">
        <v>1055</v>
      </c>
      <c r="E437" s="296">
        <v>4</v>
      </c>
      <c r="F437" s="294">
        <v>11.6</v>
      </c>
      <c r="G437" s="308">
        <f t="shared" si="70"/>
        <v>16.317701620000001</v>
      </c>
      <c r="H437" s="294">
        <v>183.4</v>
      </c>
      <c r="I437" s="297"/>
      <c r="J437" s="297"/>
      <c r="K437" s="294">
        <f t="shared" si="71"/>
        <v>2.2216</v>
      </c>
      <c r="L437" s="294">
        <f t="shared" si="72"/>
        <v>0.57313992557863624</v>
      </c>
      <c r="M437" s="309">
        <f t="shared" si="73"/>
        <v>4.0044672012732203</v>
      </c>
      <c r="N437" s="294">
        <v>0</v>
      </c>
      <c r="O437" s="294" t="str">
        <f t="shared" si="64"/>
        <v/>
      </c>
      <c r="P437" s="294"/>
    </row>
    <row r="438" spans="1:16">
      <c r="A438" s="294"/>
      <c r="B438" s="294" t="s">
        <v>551</v>
      </c>
      <c r="C438" s="294" t="s">
        <v>292</v>
      </c>
      <c r="D438" s="295" t="s">
        <v>1055</v>
      </c>
      <c r="E438" s="296">
        <v>5</v>
      </c>
      <c r="F438" s="294">
        <v>18.399999999999999</v>
      </c>
      <c r="G438" s="308">
        <f t="shared" si="70"/>
        <v>22.695120930000002</v>
      </c>
      <c r="H438" s="294">
        <v>284.10000000000002</v>
      </c>
      <c r="I438" s="297"/>
      <c r="J438" s="297"/>
      <c r="K438" s="294">
        <f t="shared" si="71"/>
        <v>2.0583999999999998</v>
      </c>
      <c r="L438" s="294">
        <f t="shared" si="72"/>
        <v>0.66192047983258717</v>
      </c>
      <c r="M438" s="309">
        <f t="shared" si="73"/>
        <v>7.0742902952920383</v>
      </c>
      <c r="N438" s="294">
        <v>0</v>
      </c>
      <c r="O438" s="294" t="str">
        <f t="shared" si="64"/>
        <v/>
      </c>
      <c r="P438" s="294"/>
    </row>
    <row r="439" spans="1:16">
      <c r="A439" s="294"/>
      <c r="B439" s="294" t="s">
        <v>551</v>
      </c>
      <c r="C439" s="294" t="s">
        <v>292</v>
      </c>
      <c r="D439" s="295" t="s">
        <v>1055</v>
      </c>
      <c r="E439" s="296">
        <v>6</v>
      </c>
      <c r="F439" s="294">
        <v>20.6</v>
      </c>
      <c r="G439" s="308">
        <f t="shared" si="70"/>
        <v>17.202706880000001</v>
      </c>
      <c r="H439" s="294">
        <v>161.6</v>
      </c>
      <c r="I439" s="297"/>
      <c r="J439" s="297"/>
      <c r="K439" s="294">
        <f t="shared" si="71"/>
        <v>2.0055999999999998</v>
      </c>
      <c r="L439" s="294">
        <f t="shared" si="72"/>
        <v>0.68803058654568494</v>
      </c>
      <c r="M439" s="309">
        <f t="shared" si="73"/>
        <v>5.68606131521289</v>
      </c>
      <c r="N439" s="294">
        <v>0</v>
      </c>
      <c r="O439" s="294" t="str">
        <f t="shared" si="64"/>
        <v/>
      </c>
      <c r="P439" s="294"/>
    </row>
    <row r="440" spans="1:16">
      <c r="A440" s="294"/>
      <c r="B440" s="294" t="s">
        <v>551</v>
      </c>
      <c r="C440" s="294" t="s">
        <v>292</v>
      </c>
      <c r="D440" s="295" t="s">
        <v>1055</v>
      </c>
      <c r="E440" s="296">
        <v>7</v>
      </c>
      <c r="F440" s="294">
        <v>24.8</v>
      </c>
      <c r="G440" s="308">
        <f t="shared" si="70"/>
        <v>17.229859300000001</v>
      </c>
      <c r="H440" s="294">
        <v>171</v>
      </c>
      <c r="I440" s="297"/>
      <c r="J440" s="297"/>
      <c r="K440" s="294">
        <f t="shared" si="71"/>
        <v>1.9047999999999998</v>
      </c>
      <c r="L440" s="294">
        <f t="shared" si="72"/>
        <v>0.73365813797851909</v>
      </c>
      <c r="M440" s="309">
        <f t="shared" si="73"/>
        <v>6.4164833750104231</v>
      </c>
      <c r="N440" s="294">
        <v>1</v>
      </c>
      <c r="O440" s="294">
        <f t="shared" si="64"/>
        <v>6.4164833750104231</v>
      </c>
      <c r="P440" s="294"/>
    </row>
    <row r="441" spans="1:16">
      <c r="A441" s="294"/>
      <c r="B441" s="294" t="s">
        <v>551</v>
      </c>
      <c r="C441" s="294" t="s">
        <v>292</v>
      </c>
      <c r="D441" s="295" t="s">
        <v>1055</v>
      </c>
      <c r="E441" s="296">
        <v>8</v>
      </c>
      <c r="F441" s="294">
        <v>24.8</v>
      </c>
      <c r="G441" s="308">
        <f t="shared" si="70"/>
        <v>15.640470609999999</v>
      </c>
      <c r="H441" s="294">
        <v>152.69999999999999</v>
      </c>
      <c r="I441" s="297"/>
      <c r="J441" s="297"/>
      <c r="K441" s="294">
        <f t="shared" si="71"/>
        <v>1.9047999999999998</v>
      </c>
      <c r="L441" s="294">
        <f t="shared" si="72"/>
        <v>0.73365813797851909</v>
      </c>
      <c r="M441" s="309">
        <f t="shared" si="73"/>
        <v>5.8079829869651984</v>
      </c>
      <c r="N441" s="294">
        <v>0</v>
      </c>
      <c r="O441" s="294" t="str">
        <f t="shared" si="64"/>
        <v/>
      </c>
      <c r="P441" s="294"/>
    </row>
    <row r="442" spans="1:16">
      <c r="A442" s="294"/>
      <c r="B442" s="294" t="s">
        <v>551</v>
      </c>
      <c r="C442" s="294" t="s">
        <v>292</v>
      </c>
      <c r="D442" s="295" t="s">
        <v>1055</v>
      </c>
      <c r="E442" s="296">
        <v>9</v>
      </c>
      <c r="F442" s="294">
        <v>19.7</v>
      </c>
      <c r="G442" s="308">
        <f t="shared" si="70"/>
        <v>11.763117789999999</v>
      </c>
      <c r="H442" s="294">
        <v>106.3</v>
      </c>
      <c r="I442" s="297"/>
      <c r="J442" s="297"/>
      <c r="K442" s="294">
        <f t="shared" si="71"/>
        <v>2.0272000000000001</v>
      </c>
      <c r="L442" s="294">
        <f t="shared" si="72"/>
        <v>0.67752473134026181</v>
      </c>
      <c r="M442" s="309">
        <f t="shared" si="73"/>
        <v>3.7278455017123324</v>
      </c>
      <c r="N442" s="294">
        <v>0</v>
      </c>
      <c r="O442" s="294" t="str">
        <f t="shared" si="64"/>
        <v/>
      </c>
      <c r="P442" s="294"/>
    </row>
    <row r="443" spans="1:16">
      <c r="A443" s="294"/>
      <c r="B443" s="294" t="s">
        <v>551</v>
      </c>
      <c r="C443" s="294" t="s">
        <v>292</v>
      </c>
      <c r="D443" s="295" t="s">
        <v>1055</v>
      </c>
      <c r="E443" s="296">
        <v>10</v>
      </c>
      <c r="F443" s="294">
        <v>13.5</v>
      </c>
      <c r="G443" s="308">
        <f t="shared" si="70"/>
        <v>11.55226974</v>
      </c>
      <c r="H443" s="294">
        <v>167.8</v>
      </c>
      <c r="I443" s="297"/>
      <c r="J443" s="297"/>
      <c r="K443" s="294">
        <f t="shared" si="71"/>
        <v>2.1760000000000002</v>
      </c>
      <c r="L443" s="294">
        <f t="shared" si="72"/>
        <v>0.59900066448276601</v>
      </c>
      <c r="M443" s="309">
        <f t="shared" si="73"/>
        <v>2.9809826962504067</v>
      </c>
      <c r="N443" s="294">
        <v>0</v>
      </c>
      <c r="O443" s="294" t="str">
        <f t="shared" si="64"/>
        <v/>
      </c>
      <c r="P443" s="294"/>
    </row>
    <row r="444" spans="1:16">
      <c r="A444" s="294"/>
      <c r="B444" s="294" t="s">
        <v>551</v>
      </c>
      <c r="C444" s="294" t="s">
        <v>292</v>
      </c>
      <c r="D444" s="295" t="s">
        <v>1055</v>
      </c>
      <c r="E444" s="296">
        <v>11</v>
      </c>
      <c r="F444" s="294">
        <v>9.6999999999999993</v>
      </c>
      <c r="G444" s="308">
        <f t="shared" si="70"/>
        <v>5.6798894699999991</v>
      </c>
      <c r="H444" s="294">
        <v>67.900000000000006</v>
      </c>
      <c r="I444" s="297"/>
      <c r="J444" s="297"/>
      <c r="K444" s="294">
        <f t="shared" si="71"/>
        <v>2.2671999999999999</v>
      </c>
      <c r="L444" s="294">
        <f t="shared" si="72"/>
        <v>0.54666850117733679</v>
      </c>
      <c r="M444" s="309">
        <f t="shared" si="73"/>
        <v>1.1813208201470231</v>
      </c>
      <c r="N444" s="294">
        <v>0</v>
      </c>
      <c r="O444" s="294" t="str">
        <f t="shared" si="64"/>
        <v/>
      </c>
      <c r="P444" s="294"/>
    </row>
    <row r="445" spans="1:16">
      <c r="A445" s="294"/>
      <c r="B445" s="294" t="s">
        <v>551</v>
      </c>
      <c r="C445" s="294" t="s">
        <v>292</v>
      </c>
      <c r="D445" s="295" t="s">
        <v>1055</v>
      </c>
      <c r="E445" s="296">
        <v>12</v>
      </c>
      <c r="F445" s="294">
        <v>3.9</v>
      </c>
      <c r="G445" s="308">
        <f t="shared" si="70"/>
        <v>5.0219818099999989</v>
      </c>
      <c r="H445" s="294">
        <v>81.7</v>
      </c>
      <c r="I445" s="297"/>
      <c r="J445" s="297"/>
      <c r="K445" s="294">
        <f t="shared" si="71"/>
        <v>2.4064000000000001</v>
      </c>
      <c r="L445" s="294">
        <f t="shared" si="72"/>
        <v>0.46378326771227446</v>
      </c>
      <c r="M445" s="309">
        <f t="shared" si="73"/>
        <v>0.78207466232879064</v>
      </c>
      <c r="N445" s="294">
        <v>0</v>
      </c>
      <c r="O445" s="294" t="str">
        <f t="shared" si="64"/>
        <v/>
      </c>
      <c r="P445" s="294"/>
    </row>
    <row r="446" spans="1:16">
      <c r="A446" s="294">
        <v>38</v>
      </c>
      <c r="B446" s="294" t="s">
        <v>551</v>
      </c>
      <c r="C446" s="294" t="s">
        <v>294</v>
      </c>
      <c r="D446" s="295" t="s">
        <v>1055</v>
      </c>
      <c r="E446" s="296">
        <v>1</v>
      </c>
      <c r="F446" s="294">
        <v>1.1000000000000001</v>
      </c>
      <c r="G446" s="308">
        <f t="shared" si="70"/>
        <v>8.709221620000001</v>
      </c>
      <c r="H446" s="294">
        <v>147.4</v>
      </c>
      <c r="I446" s="306">
        <v>0.68600000000000005</v>
      </c>
      <c r="J446" s="307">
        <v>0.35</v>
      </c>
      <c r="K446" s="294">
        <f t="shared" si="71"/>
        <v>2.4735999999999998</v>
      </c>
      <c r="L446" s="294">
        <f t="shared" si="72"/>
        <v>0.42372761415132076</v>
      </c>
      <c r="M446" s="309">
        <f>$I$446*L446*(G446/K446)+$J$446</f>
        <v>1.3734361501197379</v>
      </c>
      <c r="N446" s="294">
        <v>0</v>
      </c>
      <c r="O446" s="294" t="str">
        <f t="shared" si="64"/>
        <v/>
      </c>
      <c r="P446" s="294">
        <f>AVERAGE(O446:O457)</f>
        <v>4.5408153850488784</v>
      </c>
    </row>
    <row r="447" spans="1:16">
      <c r="A447" s="294"/>
      <c r="B447" s="294" t="s">
        <v>551</v>
      </c>
      <c r="C447" s="294" t="s">
        <v>294</v>
      </c>
      <c r="D447" s="295" t="s">
        <v>1055</v>
      </c>
      <c r="E447" s="296">
        <v>2</v>
      </c>
      <c r="F447" s="294">
        <v>1.2</v>
      </c>
      <c r="G447" s="308">
        <f t="shared" si="70"/>
        <v>10.97924873</v>
      </c>
      <c r="H447" s="294">
        <v>144.1</v>
      </c>
      <c r="I447" s="297"/>
      <c r="J447" s="297"/>
      <c r="K447" s="294">
        <f t="shared" si="71"/>
        <v>2.4712000000000001</v>
      </c>
      <c r="L447" s="294">
        <f t="shared" si="72"/>
        <v>0.42514872248376501</v>
      </c>
      <c r="M447" s="309">
        <f t="shared" ref="M447:M457" si="74">$I$446*L447*(G447/K447)+$J$446</f>
        <v>1.6457753763249539</v>
      </c>
      <c r="N447" s="294">
        <v>0</v>
      </c>
      <c r="O447" s="294" t="str">
        <f t="shared" si="64"/>
        <v/>
      </c>
      <c r="P447" s="294"/>
    </row>
    <row r="448" spans="1:16">
      <c r="A448" s="294"/>
      <c r="B448" s="294" t="s">
        <v>551</v>
      </c>
      <c r="C448" s="294" t="s">
        <v>294</v>
      </c>
      <c r="D448" s="295" t="s">
        <v>1055</v>
      </c>
      <c r="E448" s="296">
        <v>3</v>
      </c>
      <c r="F448" s="294">
        <v>5.7</v>
      </c>
      <c r="G448" s="308">
        <f t="shared" si="70"/>
        <v>15.238296439999999</v>
      </c>
      <c r="H448" s="294">
        <v>201.8</v>
      </c>
      <c r="I448" s="297"/>
      <c r="J448" s="297"/>
      <c r="K448" s="294">
        <f t="shared" si="71"/>
        <v>2.3632</v>
      </c>
      <c r="L448" s="294">
        <f t="shared" si="72"/>
        <v>0.48966257712415773</v>
      </c>
      <c r="M448" s="309">
        <f t="shared" si="74"/>
        <v>2.515992605354394</v>
      </c>
      <c r="N448" s="294">
        <v>0</v>
      </c>
      <c r="O448" s="294" t="str">
        <f t="shared" si="64"/>
        <v/>
      </c>
      <c r="P448" s="294"/>
    </row>
    <row r="449" spans="1:16">
      <c r="A449" s="294"/>
      <c r="B449" s="294" t="s">
        <v>551</v>
      </c>
      <c r="C449" s="294" t="s">
        <v>294</v>
      </c>
      <c r="D449" s="295" t="s">
        <v>1055</v>
      </c>
      <c r="E449" s="296">
        <v>4</v>
      </c>
      <c r="F449" s="294">
        <v>11.3</v>
      </c>
      <c r="G449" s="308">
        <f t="shared" si="70"/>
        <v>15.29351737</v>
      </c>
      <c r="H449" s="294">
        <v>160.9</v>
      </c>
      <c r="I449" s="297"/>
      <c r="J449" s="297"/>
      <c r="K449" s="294">
        <f t="shared" si="71"/>
        <v>2.2288000000000001</v>
      </c>
      <c r="L449" s="294">
        <f t="shared" si="72"/>
        <v>0.56899694033307113</v>
      </c>
      <c r="M449" s="309">
        <f t="shared" si="74"/>
        <v>3.0283684983201833</v>
      </c>
      <c r="N449" s="294">
        <v>0</v>
      </c>
      <c r="O449" s="294" t="str">
        <f t="shared" si="64"/>
        <v/>
      </c>
      <c r="P449" s="294"/>
    </row>
    <row r="450" spans="1:16">
      <c r="A450" s="294"/>
      <c r="B450" s="294" t="s">
        <v>551</v>
      </c>
      <c r="C450" s="294" t="s">
        <v>294</v>
      </c>
      <c r="D450" s="295" t="s">
        <v>1055</v>
      </c>
      <c r="E450" s="296">
        <v>5</v>
      </c>
      <c r="F450" s="294">
        <v>17.8</v>
      </c>
      <c r="G450" s="308">
        <f t="shared" si="70"/>
        <v>21.020010689999999</v>
      </c>
      <c r="H450" s="294">
        <v>247.3</v>
      </c>
      <c r="I450" s="297"/>
      <c r="J450" s="297"/>
      <c r="K450" s="294">
        <f t="shared" si="71"/>
        <v>2.0728</v>
      </c>
      <c r="L450" s="294">
        <f t="shared" si="72"/>
        <v>0.65455327559795284</v>
      </c>
      <c r="M450" s="309">
        <f t="shared" si="74"/>
        <v>4.9034927437606282</v>
      </c>
      <c r="N450" s="294">
        <v>0</v>
      </c>
      <c r="O450" s="294" t="str">
        <f t="shared" ref="O450:O513" si="75">IF(N450*M450=0,"",N450*M450)</f>
        <v/>
      </c>
      <c r="P450" s="294"/>
    </row>
    <row r="451" spans="1:16">
      <c r="A451" s="294"/>
      <c r="B451" s="294" t="s">
        <v>551</v>
      </c>
      <c r="C451" s="294" t="s">
        <v>294</v>
      </c>
      <c r="D451" s="295" t="s">
        <v>1055</v>
      </c>
      <c r="E451" s="296">
        <v>6</v>
      </c>
      <c r="F451" s="294">
        <v>19.2</v>
      </c>
      <c r="G451" s="308">
        <f t="shared" si="70"/>
        <v>15.59132366</v>
      </c>
      <c r="H451" s="294">
        <v>126.2</v>
      </c>
      <c r="I451" s="297"/>
      <c r="J451" s="297"/>
      <c r="K451" s="294">
        <f t="shared" si="71"/>
        <v>2.0392000000000001</v>
      </c>
      <c r="L451" s="294">
        <f t="shared" si="72"/>
        <v>0.67158214765081492</v>
      </c>
      <c r="M451" s="309">
        <f t="shared" si="74"/>
        <v>3.8724628653467099</v>
      </c>
      <c r="N451" s="294">
        <v>0</v>
      </c>
      <c r="O451" s="294" t="str">
        <f t="shared" si="75"/>
        <v/>
      </c>
      <c r="P451" s="294"/>
    </row>
    <row r="452" spans="1:16">
      <c r="A452" s="294"/>
      <c r="B452" s="294" t="s">
        <v>551</v>
      </c>
      <c r="C452" s="294" t="s">
        <v>294</v>
      </c>
      <c r="D452" s="295" t="s">
        <v>1055</v>
      </c>
      <c r="E452" s="296">
        <v>7</v>
      </c>
      <c r="F452" s="294">
        <v>23.9</v>
      </c>
      <c r="G452" s="308">
        <f t="shared" si="70"/>
        <v>16.246642420000001</v>
      </c>
      <c r="H452" s="294">
        <v>149.4</v>
      </c>
      <c r="I452" s="297"/>
      <c r="J452" s="297"/>
      <c r="K452" s="294">
        <f t="shared" si="71"/>
        <v>1.9264000000000001</v>
      </c>
      <c r="L452" s="294">
        <f t="shared" si="72"/>
        <v>0.72436467251145376</v>
      </c>
      <c r="M452" s="309">
        <f t="shared" si="74"/>
        <v>4.5408153850488784</v>
      </c>
      <c r="N452" s="294">
        <v>1</v>
      </c>
      <c r="O452" s="294">
        <f t="shared" si="75"/>
        <v>4.5408153850488784</v>
      </c>
      <c r="P452" s="294"/>
    </row>
    <row r="453" spans="1:16">
      <c r="A453" s="294"/>
      <c r="B453" s="294" t="s">
        <v>551</v>
      </c>
      <c r="C453" s="294" t="s">
        <v>294</v>
      </c>
      <c r="D453" s="295" t="s">
        <v>1055</v>
      </c>
      <c r="E453" s="296">
        <v>8</v>
      </c>
      <c r="F453" s="294">
        <v>22.9</v>
      </c>
      <c r="G453" s="308">
        <f t="shared" si="70"/>
        <v>13.93349686</v>
      </c>
      <c r="H453" s="294">
        <v>115.2</v>
      </c>
      <c r="I453" s="297"/>
      <c r="J453" s="297"/>
      <c r="K453" s="294">
        <f t="shared" si="71"/>
        <v>1.9504000000000001</v>
      </c>
      <c r="L453" s="294">
        <f t="shared" si="72"/>
        <v>0.71372556847664814</v>
      </c>
      <c r="M453" s="309">
        <f t="shared" si="74"/>
        <v>3.847774495256342</v>
      </c>
      <c r="N453" s="294">
        <v>0</v>
      </c>
      <c r="O453" s="294" t="str">
        <f t="shared" si="75"/>
        <v/>
      </c>
      <c r="P453" s="294"/>
    </row>
    <row r="454" spans="1:16">
      <c r="A454" s="294"/>
      <c r="B454" s="294" t="s">
        <v>551</v>
      </c>
      <c r="C454" s="294" t="s">
        <v>294</v>
      </c>
      <c r="D454" s="295" t="s">
        <v>1055</v>
      </c>
      <c r="E454" s="296">
        <v>9</v>
      </c>
      <c r="F454" s="294">
        <v>18.8</v>
      </c>
      <c r="G454" s="308">
        <f t="shared" si="70"/>
        <v>11.321580579999999</v>
      </c>
      <c r="H454" s="294">
        <v>96.6</v>
      </c>
      <c r="I454" s="297"/>
      <c r="J454" s="297"/>
      <c r="K454" s="294">
        <f t="shared" si="71"/>
        <v>2.0488</v>
      </c>
      <c r="L454" s="294">
        <f t="shared" si="72"/>
        <v>0.66677466843060351</v>
      </c>
      <c r="M454" s="309">
        <f t="shared" si="74"/>
        <v>2.8776137213076654</v>
      </c>
      <c r="N454" s="294">
        <v>0</v>
      </c>
      <c r="O454" s="294" t="str">
        <f t="shared" si="75"/>
        <v/>
      </c>
      <c r="P454" s="294"/>
    </row>
    <row r="455" spans="1:16">
      <c r="A455" s="294"/>
      <c r="B455" s="294" t="s">
        <v>551</v>
      </c>
      <c r="C455" s="294" t="s">
        <v>294</v>
      </c>
      <c r="D455" s="295" t="s">
        <v>1055</v>
      </c>
      <c r="E455" s="296">
        <v>10</v>
      </c>
      <c r="F455" s="294">
        <v>14.1</v>
      </c>
      <c r="G455" s="308">
        <f t="shared" si="70"/>
        <v>12.826810139999999</v>
      </c>
      <c r="H455" s="294">
        <v>195.8</v>
      </c>
      <c r="I455" s="297"/>
      <c r="J455" s="297"/>
      <c r="K455" s="294">
        <f t="shared" si="71"/>
        <v>2.1616</v>
      </c>
      <c r="L455" s="294">
        <f t="shared" si="72"/>
        <v>0.60701698364649326</v>
      </c>
      <c r="M455" s="309">
        <f t="shared" si="74"/>
        <v>2.8209746661169923</v>
      </c>
      <c r="N455" s="294">
        <v>0</v>
      </c>
      <c r="O455" s="294" t="str">
        <f t="shared" si="75"/>
        <v/>
      </c>
      <c r="P455" s="294"/>
    </row>
    <row r="456" spans="1:16">
      <c r="A456" s="294"/>
      <c r="B456" s="294" t="s">
        <v>551</v>
      </c>
      <c r="C456" s="294" t="s">
        <v>294</v>
      </c>
      <c r="D456" s="295" t="s">
        <v>1055</v>
      </c>
      <c r="E456" s="296">
        <v>11</v>
      </c>
      <c r="F456" s="294">
        <v>9.5</v>
      </c>
      <c r="G456" s="308">
        <f t="shared" si="70"/>
        <v>7.7100502499999983</v>
      </c>
      <c r="H456" s="294">
        <v>112.5</v>
      </c>
      <c r="I456" s="297"/>
      <c r="J456" s="297"/>
      <c r="K456" s="294">
        <f t="shared" si="71"/>
        <v>2.2719999999999998</v>
      </c>
      <c r="L456" s="294">
        <f t="shared" si="72"/>
        <v>0.54385283124797501</v>
      </c>
      <c r="M456" s="309">
        <f t="shared" si="74"/>
        <v>1.6160603006440524</v>
      </c>
      <c r="N456" s="294">
        <v>0</v>
      </c>
      <c r="O456" s="294" t="str">
        <f t="shared" si="75"/>
        <v/>
      </c>
      <c r="P456" s="294"/>
    </row>
    <row r="457" spans="1:16">
      <c r="A457" s="294"/>
      <c r="B457" s="294" t="s">
        <v>551</v>
      </c>
      <c r="C457" s="294" t="s">
        <v>294</v>
      </c>
      <c r="D457" s="295" t="s">
        <v>1055</v>
      </c>
      <c r="E457" s="296">
        <v>12</v>
      </c>
      <c r="F457" s="294">
        <v>4.8</v>
      </c>
      <c r="G457" s="308">
        <f t="shared" si="70"/>
        <v>8.14460579</v>
      </c>
      <c r="H457" s="294">
        <v>150.30000000000001</v>
      </c>
      <c r="I457" s="297"/>
      <c r="J457" s="297"/>
      <c r="K457" s="294">
        <f t="shared" si="71"/>
        <v>2.3847999999999998</v>
      </c>
      <c r="L457" s="294">
        <f t="shared" si="72"/>
        <v>0.47672331586052336</v>
      </c>
      <c r="M457" s="309">
        <f t="shared" si="74"/>
        <v>1.4668854018407136</v>
      </c>
      <c r="N457" s="294">
        <v>0</v>
      </c>
      <c r="O457" s="294" t="str">
        <f t="shared" si="75"/>
        <v/>
      </c>
      <c r="P457" s="294"/>
    </row>
    <row r="458" spans="1:16">
      <c r="A458" s="294">
        <v>39</v>
      </c>
      <c r="B458" s="294" t="s">
        <v>551</v>
      </c>
      <c r="C458" s="294" t="s">
        <v>295</v>
      </c>
      <c r="D458" s="295" t="s">
        <v>1055</v>
      </c>
      <c r="E458" s="296">
        <v>1</v>
      </c>
      <c r="F458" s="294">
        <v>4.3</v>
      </c>
      <c r="G458" s="308">
        <f t="shared" si="70"/>
        <v>11.167263819999999</v>
      </c>
      <c r="H458" s="294">
        <v>201.4</v>
      </c>
      <c r="I458" s="306">
        <v>0.68400000000000005</v>
      </c>
      <c r="J458" s="307">
        <v>0.04</v>
      </c>
      <c r="K458" s="294">
        <f t="shared" si="71"/>
        <v>2.3967999999999998</v>
      </c>
      <c r="L458" s="294">
        <f t="shared" si="72"/>
        <v>0.46953327364651853</v>
      </c>
      <c r="M458" s="309">
        <f>$I$458*L458*(G458/K458)+$J$458</f>
        <v>1.536364705578265</v>
      </c>
      <c r="N458" s="294">
        <v>0</v>
      </c>
      <c r="O458" s="294" t="str">
        <f t="shared" si="75"/>
        <v/>
      </c>
      <c r="P458" s="294">
        <f>AVERAGE(O458:O469)</f>
        <v>4.4284798076697527</v>
      </c>
    </row>
    <row r="459" spans="1:16">
      <c r="A459" s="294"/>
      <c r="B459" s="294" t="s">
        <v>551</v>
      </c>
      <c r="C459" s="294" t="s">
        <v>295</v>
      </c>
      <c r="D459" s="295" t="s">
        <v>1055</v>
      </c>
      <c r="E459" s="296">
        <v>2</v>
      </c>
      <c r="F459" s="294">
        <v>4.2</v>
      </c>
      <c r="G459" s="308">
        <f t="shared" si="70"/>
        <v>11.816803849999999</v>
      </c>
      <c r="H459" s="294">
        <v>162.5</v>
      </c>
      <c r="I459" s="297"/>
      <c r="J459" s="297"/>
      <c r="K459" s="294">
        <f t="shared" si="71"/>
        <v>2.3992</v>
      </c>
      <c r="L459" s="294">
        <f t="shared" si="72"/>
        <v>0.4680955245480542</v>
      </c>
      <c r="M459" s="309">
        <f t="shared" ref="M459:M469" si="76">$I$458*L459*(G459/K459)+$J$458</f>
        <v>1.6169726615983226</v>
      </c>
      <c r="N459" s="294">
        <v>0</v>
      </c>
      <c r="O459" s="294" t="str">
        <f t="shared" si="75"/>
        <v/>
      </c>
      <c r="P459" s="294"/>
    </row>
    <row r="460" spans="1:16">
      <c r="A460" s="294"/>
      <c r="B460" s="294" t="s">
        <v>551</v>
      </c>
      <c r="C460" s="294" t="s">
        <v>295</v>
      </c>
      <c r="D460" s="295" t="s">
        <v>1055</v>
      </c>
      <c r="E460" s="296">
        <v>3</v>
      </c>
      <c r="F460" s="294">
        <v>7.8</v>
      </c>
      <c r="G460" s="308">
        <f t="shared" si="70"/>
        <v>15.707145230000002</v>
      </c>
      <c r="H460" s="294">
        <v>212.1</v>
      </c>
      <c r="I460" s="297"/>
      <c r="J460" s="297"/>
      <c r="K460" s="294">
        <f t="shared" si="71"/>
        <v>2.3128000000000002</v>
      </c>
      <c r="L460" s="294">
        <f t="shared" si="72"/>
        <v>0.51974411192253844</v>
      </c>
      <c r="M460" s="309">
        <f t="shared" si="76"/>
        <v>2.454375749701144</v>
      </c>
      <c r="N460" s="294">
        <v>0</v>
      </c>
      <c r="O460" s="294" t="str">
        <f t="shared" si="75"/>
        <v/>
      </c>
      <c r="P460" s="294"/>
    </row>
    <row r="461" spans="1:16">
      <c r="A461" s="294"/>
      <c r="B461" s="294" t="s">
        <v>551</v>
      </c>
      <c r="C461" s="294" t="s">
        <v>295</v>
      </c>
      <c r="D461" s="295" t="s">
        <v>1055</v>
      </c>
      <c r="E461" s="296">
        <v>4</v>
      </c>
      <c r="F461" s="294">
        <v>11.5</v>
      </c>
      <c r="G461" s="308">
        <f t="shared" si="70"/>
        <v>15.83974897</v>
      </c>
      <c r="H461" s="294">
        <v>172.9</v>
      </c>
      <c r="I461" s="297"/>
      <c r="J461" s="297"/>
      <c r="K461" s="294">
        <f t="shared" si="71"/>
        <v>2.2240000000000002</v>
      </c>
      <c r="L461" s="294">
        <f t="shared" si="72"/>
        <v>0.57176059614784436</v>
      </c>
      <c r="M461" s="309">
        <f t="shared" si="76"/>
        <v>2.8253760389931979</v>
      </c>
      <c r="N461" s="294">
        <v>0</v>
      </c>
      <c r="O461" s="294" t="str">
        <f t="shared" si="75"/>
        <v/>
      </c>
      <c r="P461" s="294"/>
    </row>
    <row r="462" spans="1:16">
      <c r="A462" s="294"/>
      <c r="B462" s="294" t="s">
        <v>551</v>
      </c>
      <c r="C462" s="294" t="s">
        <v>295</v>
      </c>
      <c r="D462" s="295" t="s">
        <v>1055</v>
      </c>
      <c r="E462" s="296">
        <v>5</v>
      </c>
      <c r="F462" s="294">
        <v>17.3</v>
      </c>
      <c r="G462" s="308">
        <f t="shared" si="70"/>
        <v>21.666384749999999</v>
      </c>
      <c r="H462" s="294">
        <v>261.5</v>
      </c>
      <c r="I462" s="297"/>
      <c r="J462" s="297"/>
      <c r="K462" s="294">
        <f t="shared" si="71"/>
        <v>2.0848</v>
      </c>
      <c r="L462" s="294">
        <f t="shared" si="72"/>
        <v>0.64833691220128331</v>
      </c>
      <c r="M462" s="309">
        <f t="shared" si="76"/>
        <v>4.6487049210321869</v>
      </c>
      <c r="N462" s="294">
        <v>0</v>
      </c>
      <c r="O462" s="294" t="str">
        <f t="shared" si="75"/>
        <v/>
      </c>
      <c r="P462" s="294"/>
    </row>
    <row r="463" spans="1:16">
      <c r="A463" s="294"/>
      <c r="B463" s="294" t="s">
        <v>551</v>
      </c>
      <c r="C463" s="294" t="s">
        <v>295</v>
      </c>
      <c r="D463" s="295" t="s">
        <v>1055</v>
      </c>
      <c r="E463" s="296">
        <v>6</v>
      </c>
      <c r="F463" s="294">
        <v>19.7</v>
      </c>
      <c r="G463" s="308">
        <f t="shared" si="70"/>
        <v>16.79758511</v>
      </c>
      <c r="H463" s="294">
        <v>152.69999999999999</v>
      </c>
      <c r="I463" s="297"/>
      <c r="J463" s="297"/>
      <c r="K463" s="294">
        <f t="shared" si="71"/>
        <v>2.0272000000000001</v>
      </c>
      <c r="L463" s="294">
        <f t="shared" si="72"/>
        <v>0.67752473134026181</v>
      </c>
      <c r="M463" s="309">
        <f t="shared" si="76"/>
        <v>3.8800024998774005</v>
      </c>
      <c r="N463" s="294">
        <v>0</v>
      </c>
      <c r="O463" s="294" t="str">
        <f t="shared" si="75"/>
        <v/>
      </c>
      <c r="P463" s="294"/>
    </row>
    <row r="464" spans="1:16">
      <c r="A464" s="294"/>
      <c r="B464" s="294" t="s">
        <v>551</v>
      </c>
      <c r="C464" s="294" t="s">
        <v>295</v>
      </c>
      <c r="D464" s="295" t="s">
        <v>1055</v>
      </c>
      <c r="E464" s="296">
        <v>7</v>
      </c>
      <c r="F464" s="294">
        <v>23</v>
      </c>
      <c r="G464" s="308">
        <f t="shared" si="70"/>
        <v>17.484767380000001</v>
      </c>
      <c r="H464" s="294">
        <v>176.6</v>
      </c>
      <c r="I464" s="297"/>
      <c r="J464" s="297"/>
      <c r="K464" s="294">
        <f t="shared" si="71"/>
        <v>1.948</v>
      </c>
      <c r="L464" s="294">
        <f t="shared" si="72"/>
        <v>0.71480420137260092</v>
      </c>
      <c r="M464" s="309">
        <f t="shared" si="76"/>
        <v>4.4284798076697527</v>
      </c>
      <c r="N464" s="294">
        <v>1</v>
      </c>
      <c r="O464" s="294">
        <f t="shared" si="75"/>
        <v>4.4284798076697527</v>
      </c>
      <c r="P464" s="294"/>
    </row>
    <row r="465" spans="1:16">
      <c r="A465" s="294"/>
      <c r="B465" s="294" t="s">
        <v>551</v>
      </c>
      <c r="C465" s="294" t="s">
        <v>295</v>
      </c>
      <c r="D465" s="295" t="s">
        <v>1055</v>
      </c>
      <c r="E465" s="296">
        <v>8</v>
      </c>
      <c r="F465" s="294">
        <v>24.5</v>
      </c>
      <c r="G465" s="308">
        <f t="shared" si="70"/>
        <v>15.289972000000001</v>
      </c>
      <c r="H465" s="294">
        <v>145</v>
      </c>
      <c r="I465" s="297"/>
      <c r="J465" s="297"/>
      <c r="K465" s="294">
        <f t="shared" si="71"/>
        <v>1.9119999999999999</v>
      </c>
      <c r="L465" s="294">
        <f t="shared" si="72"/>
        <v>0.73059013321207966</v>
      </c>
      <c r="M465" s="309">
        <f t="shared" si="76"/>
        <v>4.0362137203544224</v>
      </c>
      <c r="N465" s="294">
        <v>0</v>
      </c>
      <c r="O465" s="294" t="str">
        <f t="shared" si="75"/>
        <v/>
      </c>
      <c r="P465" s="294"/>
    </row>
    <row r="466" spans="1:16">
      <c r="A466" s="294"/>
      <c r="B466" s="294" t="s">
        <v>551</v>
      </c>
      <c r="C466" s="294" t="s">
        <v>295</v>
      </c>
      <c r="D466" s="295" t="s">
        <v>1055</v>
      </c>
      <c r="E466" s="296">
        <v>9</v>
      </c>
      <c r="F466" s="294">
        <v>21.3</v>
      </c>
      <c r="G466" s="308">
        <f t="shared" si="70"/>
        <v>12.546049749999998</v>
      </c>
      <c r="H466" s="294">
        <v>123.5</v>
      </c>
      <c r="I466" s="297"/>
      <c r="J466" s="297"/>
      <c r="K466" s="294">
        <f t="shared" si="71"/>
        <v>1.9887999999999999</v>
      </c>
      <c r="L466" s="294">
        <f t="shared" si="72"/>
        <v>0.69602860950497947</v>
      </c>
      <c r="M466" s="309">
        <f t="shared" si="76"/>
        <v>3.0433025646593888</v>
      </c>
      <c r="N466" s="294">
        <v>0</v>
      </c>
      <c r="O466" s="294" t="str">
        <f t="shared" si="75"/>
        <v/>
      </c>
      <c r="P466" s="294"/>
    </row>
    <row r="467" spans="1:16">
      <c r="A467" s="294"/>
      <c r="B467" s="294" t="s">
        <v>551</v>
      </c>
      <c r="C467" s="294" t="s">
        <v>295</v>
      </c>
      <c r="D467" s="295" t="s">
        <v>1055</v>
      </c>
      <c r="E467" s="296">
        <v>10</v>
      </c>
      <c r="F467" s="294">
        <v>17</v>
      </c>
      <c r="G467" s="308">
        <f t="shared" si="70"/>
        <v>12.658388729999999</v>
      </c>
      <c r="H467" s="294">
        <v>192.1</v>
      </c>
      <c r="I467" s="297"/>
      <c r="J467" s="297"/>
      <c r="K467" s="294">
        <f t="shared" si="71"/>
        <v>2.0920000000000001</v>
      </c>
      <c r="L467" s="294">
        <f t="shared" si="72"/>
        <v>0.6445742296890733</v>
      </c>
      <c r="M467" s="309">
        <f t="shared" si="76"/>
        <v>2.707754051952822</v>
      </c>
      <c r="N467" s="294">
        <v>0</v>
      </c>
      <c r="O467" s="294" t="str">
        <f t="shared" si="75"/>
        <v/>
      </c>
      <c r="P467" s="294"/>
    </row>
    <row r="468" spans="1:16">
      <c r="A468" s="294"/>
      <c r="B468" s="294" t="s">
        <v>551</v>
      </c>
      <c r="C468" s="294" t="s">
        <v>295</v>
      </c>
      <c r="D468" s="295" t="s">
        <v>1055</v>
      </c>
      <c r="E468" s="296">
        <v>11</v>
      </c>
      <c r="F468" s="294">
        <v>12.7</v>
      </c>
      <c r="G468" s="308">
        <f t="shared" si="70"/>
        <v>8.5293976499999999</v>
      </c>
      <c r="H468" s="294">
        <v>130.5</v>
      </c>
      <c r="I468" s="297"/>
      <c r="J468" s="297"/>
      <c r="K468" s="294">
        <f t="shared" si="71"/>
        <v>2.1951999999999998</v>
      </c>
      <c r="L468" s="294">
        <f t="shared" si="72"/>
        <v>0.58819589909700976</v>
      </c>
      <c r="M468" s="309">
        <f t="shared" si="76"/>
        <v>1.6032281323507691</v>
      </c>
      <c r="N468" s="294">
        <v>0</v>
      </c>
      <c r="O468" s="294" t="str">
        <f t="shared" si="75"/>
        <v/>
      </c>
      <c r="P468" s="294"/>
    </row>
    <row r="469" spans="1:16">
      <c r="A469" s="294"/>
      <c r="B469" s="294" t="s">
        <v>551</v>
      </c>
      <c r="C469" s="294" t="s">
        <v>295</v>
      </c>
      <c r="D469" s="295" t="s">
        <v>1055</v>
      </c>
      <c r="E469" s="296">
        <v>12</v>
      </c>
      <c r="F469" s="294">
        <v>7.8</v>
      </c>
      <c r="G469" s="308">
        <f t="shared" si="70"/>
        <v>9.6512946200000016</v>
      </c>
      <c r="H469" s="294">
        <v>183.4</v>
      </c>
      <c r="I469" s="297"/>
      <c r="J469" s="297"/>
      <c r="K469" s="294">
        <f t="shared" si="71"/>
        <v>2.3128000000000002</v>
      </c>
      <c r="L469" s="294">
        <f t="shared" si="72"/>
        <v>0.51974411192253844</v>
      </c>
      <c r="M469" s="309">
        <f t="shared" si="76"/>
        <v>1.5235192100499295</v>
      </c>
      <c r="N469" s="294">
        <v>0</v>
      </c>
      <c r="O469" s="294" t="str">
        <f t="shared" si="75"/>
        <v/>
      </c>
      <c r="P469" s="294"/>
    </row>
    <row r="470" spans="1:16">
      <c r="A470" s="294">
        <v>40</v>
      </c>
      <c r="B470" s="294" t="s">
        <v>552</v>
      </c>
      <c r="C470" s="294" t="s">
        <v>553</v>
      </c>
      <c r="D470" s="295" t="s">
        <v>1056</v>
      </c>
      <c r="E470" s="296">
        <v>1</v>
      </c>
      <c r="F470" s="294">
        <v>3.2</v>
      </c>
      <c r="G470" s="294">
        <v>9.6999999999999993</v>
      </c>
      <c r="H470" s="294"/>
      <c r="I470" s="294">
        <v>0.79800000000000004</v>
      </c>
      <c r="J470" s="294">
        <v>0.21</v>
      </c>
      <c r="K470" s="294">
        <f>2.5-0.024*F470</f>
        <v>2.4232</v>
      </c>
      <c r="L470" s="294">
        <f>1/(1.05+1.4*EXP(-0.0604*F470))</f>
        <v>0.45373046962916019</v>
      </c>
      <c r="M470" s="297">
        <f t="shared" ref="M470:M481" si="77">$I$470*L470*(G470/K470)+$J$470</f>
        <v>1.6593834901004776</v>
      </c>
      <c r="N470" s="294">
        <v>0</v>
      </c>
      <c r="O470" s="294" t="str">
        <f t="shared" si="75"/>
        <v/>
      </c>
      <c r="P470" s="294">
        <f>AVERAGE(O470:O481)</f>
        <v>4.9854495672106225</v>
      </c>
    </row>
    <row r="471" spans="1:16">
      <c r="A471" s="294"/>
      <c r="B471" s="294" t="s">
        <v>552</v>
      </c>
      <c r="C471" s="294" t="s">
        <v>553</v>
      </c>
      <c r="D471" s="295" t="s">
        <v>1056</v>
      </c>
      <c r="E471" s="296">
        <v>2</v>
      </c>
      <c r="F471" s="294">
        <v>3.7</v>
      </c>
      <c r="G471" s="294">
        <v>11.9</v>
      </c>
      <c r="H471" s="294"/>
      <c r="I471" s="294"/>
      <c r="J471" s="294"/>
      <c r="K471" s="294">
        <f t="shared" ref="K471:K594" si="78">2.5-0.024*F471</f>
        <v>2.4112</v>
      </c>
      <c r="L471" s="294">
        <f t="shared" ref="L471:L594" si="79">1/(1.05+1.4*EXP(-0.0604*F471))</f>
        <v>0.46090951699322635</v>
      </c>
      <c r="M471" s="297">
        <f t="shared" si="77"/>
        <v>2.025232645683094</v>
      </c>
      <c r="N471" s="294">
        <v>0</v>
      </c>
      <c r="O471" s="294" t="str">
        <f t="shared" si="75"/>
        <v/>
      </c>
      <c r="P471" s="294"/>
    </row>
    <row r="472" spans="1:16">
      <c r="A472" s="294"/>
      <c r="B472" s="294" t="s">
        <v>552</v>
      </c>
      <c r="C472" s="294" t="s">
        <v>553</v>
      </c>
      <c r="D472" s="295" t="s">
        <v>1056</v>
      </c>
      <c r="E472" s="296">
        <v>3</v>
      </c>
      <c r="F472" s="294">
        <v>8.5</v>
      </c>
      <c r="G472" s="294">
        <v>15.5</v>
      </c>
      <c r="H472" s="294"/>
      <c r="I472" s="294"/>
      <c r="J472" s="294"/>
      <c r="K472" s="294">
        <f t="shared" si="78"/>
        <v>2.2959999999999998</v>
      </c>
      <c r="L472" s="294">
        <f t="shared" si="79"/>
        <v>0.5297058216756424</v>
      </c>
      <c r="M472" s="297">
        <f t="shared" si="77"/>
        <v>3.0636286186001835</v>
      </c>
      <c r="N472" s="294">
        <v>0</v>
      </c>
      <c r="O472" s="294" t="str">
        <f t="shared" si="75"/>
        <v/>
      </c>
      <c r="P472" s="294"/>
    </row>
    <row r="473" spans="1:16">
      <c r="A473" s="294"/>
      <c r="B473" s="294" t="s">
        <v>552</v>
      </c>
      <c r="C473" s="294" t="s">
        <v>553</v>
      </c>
      <c r="D473" s="295" t="s">
        <v>1056</v>
      </c>
      <c r="E473" s="296">
        <v>4</v>
      </c>
      <c r="F473" s="294">
        <v>13.6</v>
      </c>
      <c r="G473" s="294">
        <v>15.4</v>
      </c>
      <c r="H473" s="294"/>
      <c r="I473" s="294"/>
      <c r="J473" s="294"/>
      <c r="K473" s="294">
        <f t="shared" si="78"/>
        <v>2.1736</v>
      </c>
      <c r="L473" s="294">
        <f t="shared" si="79"/>
        <v>0.60034205866642909</v>
      </c>
      <c r="M473" s="297">
        <f t="shared" si="77"/>
        <v>3.6042416393832726</v>
      </c>
      <c r="N473" s="294">
        <v>0</v>
      </c>
      <c r="O473" s="294" t="str">
        <f t="shared" si="75"/>
        <v/>
      </c>
      <c r="P473" s="294"/>
    </row>
    <row r="474" spans="1:16">
      <c r="A474" s="294"/>
      <c r="B474" s="294" t="s">
        <v>552</v>
      </c>
      <c r="C474" s="294" t="s">
        <v>553</v>
      </c>
      <c r="D474" s="295" t="s">
        <v>1056</v>
      </c>
      <c r="E474" s="296">
        <v>5</v>
      </c>
      <c r="F474" s="294">
        <v>20.2</v>
      </c>
      <c r="G474" s="294">
        <v>22.2</v>
      </c>
      <c r="H474" s="294"/>
      <c r="I474" s="294"/>
      <c r="J474" s="294"/>
      <c r="K474" s="294">
        <f t="shared" si="78"/>
        <v>2.0152000000000001</v>
      </c>
      <c r="L474" s="294">
        <f t="shared" si="79"/>
        <v>0.68339192349867006</v>
      </c>
      <c r="M474" s="297">
        <f t="shared" si="77"/>
        <v>6.217690531923898</v>
      </c>
      <c r="N474" s="294">
        <v>0</v>
      </c>
      <c r="O474" s="294" t="str">
        <f t="shared" si="75"/>
        <v/>
      </c>
      <c r="P474" s="294"/>
    </row>
    <row r="475" spans="1:16">
      <c r="A475" s="294"/>
      <c r="B475" s="294" t="s">
        <v>552</v>
      </c>
      <c r="C475" s="294" t="s">
        <v>553</v>
      </c>
      <c r="D475" s="295" t="s">
        <v>1056</v>
      </c>
      <c r="E475" s="296">
        <v>6</v>
      </c>
      <c r="F475" s="294">
        <v>21.4</v>
      </c>
      <c r="G475" s="294">
        <v>15.8</v>
      </c>
      <c r="H475" s="294"/>
      <c r="I475" s="294"/>
      <c r="J475" s="294"/>
      <c r="K475" s="294">
        <f t="shared" si="78"/>
        <v>1.9864000000000002</v>
      </c>
      <c r="L475" s="294">
        <f t="shared" si="79"/>
        <v>0.69715862454510524</v>
      </c>
      <c r="M475" s="297">
        <f t="shared" si="77"/>
        <v>4.6351182046488653</v>
      </c>
      <c r="N475" s="294">
        <v>0</v>
      </c>
      <c r="O475" s="294" t="str">
        <f t="shared" si="75"/>
        <v/>
      </c>
      <c r="P475" s="294"/>
    </row>
    <row r="476" spans="1:16">
      <c r="A476" s="294"/>
      <c r="B476" s="294" t="s">
        <v>552</v>
      </c>
      <c r="C476" s="294" t="s">
        <v>553</v>
      </c>
      <c r="D476" s="295" t="s">
        <v>1056</v>
      </c>
      <c r="E476" s="296">
        <v>7</v>
      </c>
      <c r="F476" s="294">
        <v>25.6</v>
      </c>
      <c r="G476" s="294">
        <v>16.600000000000001</v>
      </c>
      <c r="H476" s="294"/>
      <c r="I476" s="294"/>
      <c r="J476" s="294"/>
      <c r="K476" s="294">
        <f t="shared" si="78"/>
        <v>1.8855999999999999</v>
      </c>
      <c r="L476" s="294">
        <f t="shared" si="79"/>
        <v>0.74169310776479802</v>
      </c>
      <c r="M476" s="297">
        <f t="shared" si="77"/>
        <v>5.4205750211809116</v>
      </c>
      <c r="N476" s="294">
        <v>1</v>
      </c>
      <c r="O476" s="294">
        <f t="shared" si="75"/>
        <v>5.4205750211809116</v>
      </c>
      <c r="P476" s="294"/>
    </row>
    <row r="477" spans="1:16">
      <c r="A477" s="294"/>
      <c r="B477" s="294" t="s">
        <v>552</v>
      </c>
      <c r="C477" s="294" t="s">
        <v>553</v>
      </c>
      <c r="D477" s="295" t="s">
        <v>1056</v>
      </c>
      <c r="E477" s="296">
        <v>8</v>
      </c>
      <c r="F477" s="294">
        <v>25.4</v>
      </c>
      <c r="G477" s="294">
        <v>13.9</v>
      </c>
      <c r="H477" s="294"/>
      <c r="I477" s="294"/>
      <c r="J477" s="294"/>
      <c r="K477" s="294">
        <f t="shared" si="78"/>
        <v>1.8904000000000001</v>
      </c>
      <c r="L477" s="294">
        <f t="shared" si="79"/>
        <v>0.73970436015123497</v>
      </c>
      <c r="M477" s="297">
        <f t="shared" si="77"/>
        <v>4.5503241132403343</v>
      </c>
      <c r="N477" s="294">
        <v>1</v>
      </c>
      <c r="O477" s="294">
        <f t="shared" si="75"/>
        <v>4.5503241132403343</v>
      </c>
      <c r="P477" s="294"/>
    </row>
    <row r="478" spans="1:16">
      <c r="A478" s="294"/>
      <c r="B478" s="294" t="s">
        <v>552</v>
      </c>
      <c r="C478" s="294" t="s">
        <v>553</v>
      </c>
      <c r="D478" s="295" t="s">
        <v>1056</v>
      </c>
      <c r="E478" s="296">
        <v>9</v>
      </c>
      <c r="F478" s="294">
        <v>21.4</v>
      </c>
      <c r="G478" s="294">
        <v>11.7</v>
      </c>
      <c r="H478" s="294"/>
      <c r="I478" s="294"/>
      <c r="J478" s="294"/>
      <c r="K478" s="294">
        <f t="shared" si="78"/>
        <v>1.9864000000000002</v>
      </c>
      <c r="L478" s="294">
        <f t="shared" si="79"/>
        <v>0.69715862454510524</v>
      </c>
      <c r="M478" s="297">
        <f t="shared" si="77"/>
        <v>3.4868280376197287</v>
      </c>
      <c r="N478" s="294">
        <v>0</v>
      </c>
      <c r="O478" s="294" t="str">
        <f t="shared" si="75"/>
        <v/>
      </c>
      <c r="P478" s="294"/>
    </row>
    <row r="479" spans="1:16">
      <c r="A479" s="294"/>
      <c r="B479" s="294" t="s">
        <v>552</v>
      </c>
      <c r="C479" s="294" t="s">
        <v>553</v>
      </c>
      <c r="D479" s="295" t="s">
        <v>1056</v>
      </c>
      <c r="E479" s="296">
        <v>10</v>
      </c>
      <c r="F479" s="294">
        <v>16.7</v>
      </c>
      <c r="G479" s="294">
        <v>13.2</v>
      </c>
      <c r="H479" s="294"/>
      <c r="I479" s="294"/>
      <c r="J479" s="294"/>
      <c r="K479" s="294">
        <f t="shared" si="78"/>
        <v>2.0992000000000002</v>
      </c>
      <c r="L479" s="294">
        <f t="shared" si="79"/>
        <v>0.64078736157508165</v>
      </c>
      <c r="M479" s="297">
        <f t="shared" si="77"/>
        <v>3.4254143254036205</v>
      </c>
      <c r="N479" s="294">
        <v>0</v>
      </c>
      <c r="O479" s="294" t="str">
        <f t="shared" si="75"/>
        <v/>
      </c>
      <c r="P479" s="294"/>
    </row>
    <row r="480" spans="1:16">
      <c r="A480" s="294"/>
      <c r="B480" s="294" t="s">
        <v>552</v>
      </c>
      <c r="C480" s="294" t="s">
        <v>553</v>
      </c>
      <c r="D480" s="295" t="s">
        <v>1056</v>
      </c>
      <c r="E480" s="296">
        <v>11</v>
      </c>
      <c r="F480" s="294">
        <v>12.3</v>
      </c>
      <c r="G480" s="294">
        <v>7.5</v>
      </c>
      <c r="H480" s="294"/>
      <c r="I480" s="294"/>
      <c r="J480" s="294"/>
      <c r="K480" s="294">
        <f t="shared" si="78"/>
        <v>2.2048000000000001</v>
      </c>
      <c r="L480" s="294">
        <f t="shared" si="79"/>
        <v>0.58274654668128933</v>
      </c>
      <c r="M480" s="297">
        <f t="shared" si="77"/>
        <v>1.7918841082581263</v>
      </c>
      <c r="N480" s="294">
        <v>0</v>
      </c>
      <c r="O480" s="294" t="str">
        <f t="shared" si="75"/>
        <v/>
      </c>
      <c r="P480" s="294"/>
    </row>
    <row r="481" spans="1:16">
      <c r="A481" s="294"/>
      <c r="B481" s="294" t="s">
        <v>552</v>
      </c>
      <c r="C481" s="294" t="s">
        <v>553</v>
      </c>
      <c r="D481" s="295" t="s">
        <v>1056</v>
      </c>
      <c r="E481" s="296">
        <v>12</v>
      </c>
      <c r="F481" s="294">
        <v>7.2</v>
      </c>
      <c r="G481" s="294">
        <v>8.9</v>
      </c>
      <c r="H481" s="294"/>
      <c r="I481" s="294"/>
      <c r="J481" s="294"/>
      <c r="K481" s="294">
        <f t="shared" si="78"/>
        <v>2.3271999999999999</v>
      </c>
      <c r="L481" s="294">
        <f t="shared" si="79"/>
        <v>0.51117445743276591</v>
      </c>
      <c r="M481" s="297">
        <f t="shared" si="77"/>
        <v>1.7700134202384799</v>
      </c>
      <c r="N481" s="294">
        <v>0</v>
      </c>
      <c r="O481" s="294" t="str">
        <f t="shared" si="75"/>
        <v/>
      </c>
      <c r="P481" s="294"/>
    </row>
    <row r="482" spans="1:16">
      <c r="A482" s="294">
        <v>41</v>
      </c>
      <c r="B482" s="294" t="s">
        <v>552</v>
      </c>
      <c r="C482" s="294" t="s">
        <v>554</v>
      </c>
      <c r="D482" s="295" t="s">
        <v>1056</v>
      </c>
      <c r="E482" s="296">
        <v>1</v>
      </c>
      <c r="F482" s="294">
        <v>-3.4</v>
      </c>
      <c r="G482" s="308">
        <f t="shared" ref="G482:G493" si="80">$T$11+$T$12*H482+INDEX($T$13:$T$24,MATCH(E482,$S$13:$S$24,0),1)</f>
        <v>9.43297849</v>
      </c>
      <c r="H482" s="294">
        <v>163.30000000000001</v>
      </c>
      <c r="I482" s="306">
        <v>0.38100000000000001</v>
      </c>
      <c r="J482" s="307">
        <v>1.34</v>
      </c>
      <c r="K482" s="294">
        <f t="shared" si="78"/>
        <v>2.5815999999999999</v>
      </c>
      <c r="L482" s="294">
        <f t="shared" si="79"/>
        <v>0.36112113849795491</v>
      </c>
      <c r="M482" s="309">
        <f>$I$482*L482*(G482/K482)+$J$482</f>
        <v>1.8427334451468984</v>
      </c>
      <c r="N482" s="294">
        <v>0</v>
      </c>
      <c r="O482" s="294" t="str">
        <f t="shared" si="75"/>
        <v/>
      </c>
      <c r="P482" s="294">
        <f>AVERAGE(O482:O493)</f>
        <v>3.1444003982353461</v>
      </c>
    </row>
    <row r="483" spans="1:16">
      <c r="A483" s="294"/>
      <c r="B483" s="294" t="s">
        <v>552</v>
      </c>
      <c r="C483" s="294" t="s">
        <v>554</v>
      </c>
      <c r="D483" s="295" t="s">
        <v>1056</v>
      </c>
      <c r="E483" s="296">
        <v>2</v>
      </c>
      <c r="F483" s="294">
        <v>-3.7</v>
      </c>
      <c r="G483" s="308">
        <f t="shared" si="80"/>
        <v>11.23870874</v>
      </c>
      <c r="H483" s="294">
        <v>149.80000000000001</v>
      </c>
      <c r="I483" s="297"/>
      <c r="J483" s="297"/>
      <c r="K483" s="294">
        <f t="shared" si="78"/>
        <v>2.5888</v>
      </c>
      <c r="L483" s="294">
        <f t="shared" si="79"/>
        <v>0.35706776014877295</v>
      </c>
      <c r="M483" s="309">
        <f t="shared" ref="M483:M493" si="81">$I$482*L483*(G483/K483)+$J$482</f>
        <v>1.9306001205671071</v>
      </c>
      <c r="N483" s="294">
        <v>0</v>
      </c>
      <c r="O483" s="294" t="str">
        <f t="shared" si="75"/>
        <v/>
      </c>
      <c r="P483" s="294"/>
    </row>
    <row r="484" spans="1:16">
      <c r="A484" s="294"/>
      <c r="B484" s="294" t="s">
        <v>552</v>
      </c>
      <c r="C484" s="294" t="s">
        <v>554</v>
      </c>
      <c r="D484" s="295" t="s">
        <v>1056</v>
      </c>
      <c r="E484" s="296">
        <v>3</v>
      </c>
      <c r="F484" s="294">
        <v>0.4</v>
      </c>
      <c r="G484" s="308">
        <f t="shared" si="80"/>
        <v>15.438581360000001</v>
      </c>
      <c r="H484" s="294">
        <v>206.2</v>
      </c>
      <c r="I484" s="297"/>
      <c r="J484" s="297"/>
      <c r="K484" s="294">
        <f t="shared" si="78"/>
        <v>2.4904000000000002</v>
      </c>
      <c r="L484" s="294">
        <f t="shared" si="79"/>
        <v>0.41380771688409085</v>
      </c>
      <c r="M484" s="309">
        <f t="shared" si="81"/>
        <v>2.3173763908683931</v>
      </c>
      <c r="N484" s="294">
        <v>0</v>
      </c>
      <c r="O484" s="294" t="str">
        <f t="shared" si="75"/>
        <v/>
      </c>
      <c r="P484" s="294"/>
    </row>
    <row r="485" spans="1:16">
      <c r="A485" s="294"/>
      <c r="B485" s="294" t="s">
        <v>552</v>
      </c>
      <c r="C485" s="294" t="s">
        <v>554</v>
      </c>
      <c r="D485" s="295" t="s">
        <v>1056</v>
      </c>
      <c r="E485" s="296">
        <v>4</v>
      </c>
      <c r="F485" s="294">
        <v>6.8</v>
      </c>
      <c r="G485" s="308">
        <f t="shared" si="80"/>
        <v>15.3435886</v>
      </c>
      <c r="H485" s="294">
        <v>162</v>
      </c>
      <c r="I485" s="297"/>
      <c r="J485" s="297"/>
      <c r="K485" s="294">
        <f t="shared" si="78"/>
        <v>2.3368000000000002</v>
      </c>
      <c r="L485" s="294">
        <f t="shared" si="79"/>
        <v>0.50544832057472966</v>
      </c>
      <c r="M485" s="309">
        <f t="shared" si="81"/>
        <v>2.6044659384988424</v>
      </c>
      <c r="N485" s="294">
        <v>0</v>
      </c>
      <c r="O485" s="294" t="str">
        <f t="shared" si="75"/>
        <v/>
      </c>
      <c r="P485" s="294"/>
    </row>
    <row r="486" spans="1:16">
      <c r="A486" s="294"/>
      <c r="B486" s="294" t="s">
        <v>552</v>
      </c>
      <c r="C486" s="294" t="s">
        <v>554</v>
      </c>
      <c r="D486" s="295" t="s">
        <v>1056</v>
      </c>
      <c r="E486" s="296">
        <v>5</v>
      </c>
      <c r="F486" s="294">
        <v>12</v>
      </c>
      <c r="G486" s="308">
        <f t="shared" si="80"/>
        <v>20.974491390000001</v>
      </c>
      <c r="H486" s="294">
        <v>246.3</v>
      </c>
      <c r="I486" s="297"/>
      <c r="J486" s="297"/>
      <c r="K486" s="294">
        <f t="shared" si="78"/>
        <v>2.2119999999999997</v>
      </c>
      <c r="L486" s="294">
        <f t="shared" si="79"/>
        <v>0.57864007305957188</v>
      </c>
      <c r="M486" s="309">
        <f t="shared" si="81"/>
        <v>3.4304500672437355</v>
      </c>
      <c r="N486" s="294">
        <v>0</v>
      </c>
      <c r="O486" s="294" t="str">
        <f t="shared" si="75"/>
        <v/>
      </c>
      <c r="P486" s="294"/>
    </row>
    <row r="487" spans="1:16">
      <c r="A487" s="294"/>
      <c r="B487" s="294" t="s">
        <v>552</v>
      </c>
      <c r="C487" s="294" t="s">
        <v>554</v>
      </c>
      <c r="D487" s="295" t="s">
        <v>1056</v>
      </c>
      <c r="E487" s="296">
        <v>6</v>
      </c>
      <c r="F487" s="294">
        <v>13.5</v>
      </c>
      <c r="G487" s="308">
        <f t="shared" si="80"/>
        <v>14.1711215</v>
      </c>
      <c r="H487" s="294">
        <v>95</v>
      </c>
      <c r="I487" s="297"/>
      <c r="J487" s="297"/>
      <c r="K487" s="294">
        <f t="shared" si="78"/>
        <v>2.1760000000000002</v>
      </c>
      <c r="L487" s="294">
        <f t="shared" si="79"/>
        <v>0.59900066448276601</v>
      </c>
      <c r="M487" s="309">
        <f t="shared" si="81"/>
        <v>2.826269653162707</v>
      </c>
      <c r="N487" s="294">
        <v>0</v>
      </c>
      <c r="O487" s="294" t="str">
        <f t="shared" si="75"/>
        <v/>
      </c>
      <c r="P487" s="294"/>
    </row>
    <row r="488" spans="1:16">
      <c r="A488" s="294"/>
      <c r="B488" s="294" t="s">
        <v>552</v>
      </c>
      <c r="C488" s="294" t="s">
        <v>554</v>
      </c>
      <c r="D488" s="295" t="s">
        <v>1056</v>
      </c>
      <c r="E488" s="296">
        <v>7</v>
      </c>
      <c r="F488" s="294">
        <v>18.899999999999999</v>
      </c>
      <c r="G488" s="308">
        <f t="shared" si="80"/>
        <v>15.422743089999999</v>
      </c>
      <c r="H488" s="294">
        <v>131.30000000000001</v>
      </c>
      <c r="I488" s="297"/>
      <c r="J488" s="297"/>
      <c r="K488" s="294">
        <f t="shared" si="78"/>
        <v>2.0464000000000002</v>
      </c>
      <c r="L488" s="294">
        <f t="shared" si="79"/>
        <v>0.66798094574788913</v>
      </c>
      <c r="M488" s="309">
        <f t="shared" si="81"/>
        <v>3.2580509843254273</v>
      </c>
      <c r="N488" s="294">
        <v>1</v>
      </c>
      <c r="O488" s="294">
        <f t="shared" si="75"/>
        <v>3.2580509843254273</v>
      </c>
      <c r="P488" s="294"/>
    </row>
    <row r="489" spans="1:16">
      <c r="A489" s="294"/>
      <c r="B489" s="294" t="s">
        <v>552</v>
      </c>
      <c r="C489" s="294" t="s">
        <v>554</v>
      </c>
      <c r="D489" s="295" t="s">
        <v>1056</v>
      </c>
      <c r="E489" s="296">
        <v>8</v>
      </c>
      <c r="F489" s="294">
        <v>18.2</v>
      </c>
      <c r="G489" s="308">
        <f t="shared" si="80"/>
        <v>13.88342563</v>
      </c>
      <c r="H489" s="294">
        <v>114.1</v>
      </c>
      <c r="I489" s="297"/>
      <c r="J489" s="297"/>
      <c r="K489" s="294">
        <f t="shared" si="78"/>
        <v>2.0632000000000001</v>
      </c>
      <c r="L489" s="294">
        <f t="shared" si="79"/>
        <v>0.65947610324529615</v>
      </c>
      <c r="M489" s="309">
        <f t="shared" si="81"/>
        <v>3.030749812145265</v>
      </c>
      <c r="N489" s="294">
        <v>1</v>
      </c>
      <c r="O489" s="294">
        <f t="shared" si="75"/>
        <v>3.030749812145265</v>
      </c>
      <c r="P489" s="294"/>
    </row>
    <row r="490" spans="1:16">
      <c r="A490" s="294"/>
      <c r="B490" s="294" t="s">
        <v>552</v>
      </c>
      <c r="C490" s="294" t="s">
        <v>554</v>
      </c>
      <c r="D490" s="295" t="s">
        <v>1056</v>
      </c>
      <c r="E490" s="296">
        <v>9</v>
      </c>
      <c r="F490" s="294">
        <v>14.2</v>
      </c>
      <c r="G490" s="308">
        <f t="shared" si="80"/>
        <v>11.28971707</v>
      </c>
      <c r="H490" s="294">
        <v>95.9</v>
      </c>
      <c r="I490" s="297"/>
      <c r="J490" s="297"/>
      <c r="K490" s="294">
        <f t="shared" si="78"/>
        <v>2.1592000000000002</v>
      </c>
      <c r="L490" s="294">
        <f t="shared" si="79"/>
        <v>0.60834542565835392</v>
      </c>
      <c r="M490" s="309">
        <f t="shared" si="81"/>
        <v>2.5518961595085656</v>
      </c>
      <c r="N490" s="294">
        <v>0</v>
      </c>
      <c r="O490" s="294" t="str">
        <f t="shared" si="75"/>
        <v/>
      </c>
      <c r="P490" s="294"/>
    </row>
    <row r="491" spans="1:16">
      <c r="A491" s="294"/>
      <c r="B491" s="294" t="s">
        <v>552</v>
      </c>
      <c r="C491" s="294" t="s">
        <v>554</v>
      </c>
      <c r="D491" s="295" t="s">
        <v>1056</v>
      </c>
      <c r="E491" s="296">
        <v>10</v>
      </c>
      <c r="F491" s="294">
        <v>9.3000000000000007</v>
      </c>
      <c r="G491" s="308">
        <f t="shared" si="80"/>
        <v>12.530934690000002</v>
      </c>
      <c r="H491" s="294">
        <v>189.3</v>
      </c>
      <c r="I491" s="297"/>
      <c r="J491" s="297"/>
      <c r="K491" s="294">
        <f t="shared" si="78"/>
        <v>2.2768000000000002</v>
      </c>
      <c r="L491" s="294">
        <f t="shared" si="79"/>
        <v>0.5410323242451861</v>
      </c>
      <c r="M491" s="309">
        <f t="shared" si="81"/>
        <v>2.4745059357135109</v>
      </c>
      <c r="N491" s="294">
        <v>0</v>
      </c>
      <c r="O491" s="294" t="str">
        <f t="shared" si="75"/>
        <v/>
      </c>
      <c r="P491" s="294"/>
    </row>
    <row r="492" spans="1:16">
      <c r="A492" s="294"/>
      <c r="B492" s="294" t="s">
        <v>552</v>
      </c>
      <c r="C492" s="294" t="s">
        <v>554</v>
      </c>
      <c r="D492" s="295" t="s">
        <v>1056</v>
      </c>
      <c r="E492" s="296">
        <v>11</v>
      </c>
      <c r="F492" s="294">
        <v>5.8</v>
      </c>
      <c r="G492" s="308">
        <f t="shared" si="80"/>
        <v>7.1638186499999996</v>
      </c>
      <c r="H492" s="294">
        <v>100.5</v>
      </c>
      <c r="I492" s="297"/>
      <c r="J492" s="297"/>
      <c r="K492" s="294">
        <f t="shared" si="78"/>
        <v>2.3608000000000002</v>
      </c>
      <c r="L492" s="294">
        <f t="shared" si="79"/>
        <v>0.49109939417523152</v>
      </c>
      <c r="M492" s="309">
        <f t="shared" si="81"/>
        <v>1.9077795690518307</v>
      </c>
      <c r="N492" s="294">
        <v>0</v>
      </c>
      <c r="O492" s="294" t="str">
        <f t="shared" si="75"/>
        <v/>
      </c>
      <c r="P492" s="294"/>
    </row>
    <row r="493" spans="1:16">
      <c r="A493" s="294"/>
      <c r="B493" s="294" t="s">
        <v>552</v>
      </c>
      <c r="C493" s="294" t="s">
        <v>554</v>
      </c>
      <c r="D493" s="295" t="s">
        <v>1056</v>
      </c>
      <c r="E493" s="296">
        <v>12</v>
      </c>
      <c r="F493" s="294">
        <v>1</v>
      </c>
      <c r="G493" s="308">
        <f t="shared" si="80"/>
        <v>8.5861429999999999</v>
      </c>
      <c r="H493" s="294">
        <v>160</v>
      </c>
      <c r="I493" s="297"/>
      <c r="J493" s="297"/>
      <c r="K493" s="294">
        <f t="shared" si="78"/>
        <v>2.476</v>
      </c>
      <c r="L493" s="294">
        <f t="shared" si="79"/>
        <v>0.42230745116229385</v>
      </c>
      <c r="M493" s="309">
        <f t="shared" si="81"/>
        <v>1.8979575989946422</v>
      </c>
      <c r="N493" s="294">
        <v>0</v>
      </c>
      <c r="O493" s="294" t="str">
        <f t="shared" si="75"/>
        <v/>
      </c>
      <c r="P493" s="294"/>
    </row>
    <row r="494" spans="1:16">
      <c r="A494" s="294">
        <v>42</v>
      </c>
      <c r="B494" s="294" t="s">
        <v>555</v>
      </c>
      <c r="C494" s="294" t="s">
        <v>556</v>
      </c>
      <c r="D494" s="295" t="s">
        <v>1056</v>
      </c>
      <c r="E494" s="296">
        <v>1</v>
      </c>
      <c r="F494" s="294">
        <v>3.9</v>
      </c>
      <c r="G494" s="294">
        <v>9.4</v>
      </c>
      <c r="H494" s="294"/>
      <c r="I494" s="306">
        <v>0.66</v>
      </c>
      <c r="J494" s="307">
        <v>0.95</v>
      </c>
      <c r="K494" s="294">
        <f t="shared" si="78"/>
        <v>2.4064000000000001</v>
      </c>
      <c r="L494" s="294">
        <f>1/(1.05+1.4*EXP(-0.0604*F494))</f>
        <v>0.46378326771227446</v>
      </c>
      <c r="M494" s="297">
        <f t="shared" ref="M494:M505" si="82">$F$278*L494*(G494/K494)+$G$278</f>
        <v>4.4376693220997856</v>
      </c>
      <c r="N494" s="294">
        <v>0</v>
      </c>
      <c r="O494" s="294" t="str">
        <f t="shared" si="75"/>
        <v/>
      </c>
      <c r="P494" s="294">
        <f>AVERAGE(O494:O505)</f>
        <v>3.5408663731028289</v>
      </c>
    </row>
    <row r="495" spans="1:16">
      <c r="A495" s="294"/>
      <c r="B495" s="294" t="s">
        <v>555</v>
      </c>
      <c r="C495" s="294" t="s">
        <v>556</v>
      </c>
      <c r="D495" s="295" t="s">
        <v>1056</v>
      </c>
      <c r="E495" s="296">
        <v>2</v>
      </c>
      <c r="F495" s="294">
        <v>3.9</v>
      </c>
      <c r="G495" s="294">
        <v>11</v>
      </c>
      <c r="H495" s="294"/>
      <c r="I495" s="294"/>
      <c r="J495" s="294"/>
      <c r="K495" s="294">
        <f t="shared" si="78"/>
        <v>2.4064000000000001</v>
      </c>
      <c r="L495" s="294">
        <f t="shared" ref="L495:L517" si="83">1/(1.05+1.4*EXP(-0.0604*F495))</f>
        <v>0.46378326771227446</v>
      </c>
      <c r="M495" s="297">
        <f t="shared" si="82"/>
        <v>4.3759960152231532</v>
      </c>
      <c r="N495" s="294">
        <v>0</v>
      </c>
      <c r="O495" s="294" t="str">
        <f t="shared" si="75"/>
        <v/>
      </c>
      <c r="P495" s="294"/>
    </row>
    <row r="496" spans="1:16">
      <c r="A496" s="294"/>
      <c r="B496" s="294" t="s">
        <v>555</v>
      </c>
      <c r="C496" s="294" t="s">
        <v>556</v>
      </c>
      <c r="D496" s="295" t="s">
        <v>1056</v>
      </c>
      <c r="E496" s="296">
        <v>3</v>
      </c>
      <c r="F496" s="294">
        <v>8.6999999999999993</v>
      </c>
      <c r="G496" s="294">
        <v>14.8</v>
      </c>
      <c r="H496" s="294"/>
      <c r="I496" s="294"/>
      <c r="J496" s="294"/>
      <c r="K496" s="294">
        <f t="shared" si="78"/>
        <v>2.2911999999999999</v>
      </c>
      <c r="L496" s="294">
        <f t="shared" si="83"/>
        <v>0.53254372569577879</v>
      </c>
      <c r="M496" s="297">
        <f t="shared" si="82"/>
        <v>4.1120070582840844</v>
      </c>
      <c r="N496" s="294">
        <v>0</v>
      </c>
      <c r="O496" s="294" t="str">
        <f t="shared" si="75"/>
        <v/>
      </c>
      <c r="P496" s="294"/>
    </row>
    <row r="497" spans="1:16">
      <c r="A497" s="294"/>
      <c r="B497" s="294" t="s">
        <v>555</v>
      </c>
      <c r="C497" s="294" t="s">
        <v>556</v>
      </c>
      <c r="D497" s="295" t="s">
        <v>1056</v>
      </c>
      <c r="E497" s="296">
        <v>4</v>
      </c>
      <c r="F497" s="294">
        <v>13.1</v>
      </c>
      <c r="G497" s="294">
        <v>14.8</v>
      </c>
      <c r="H497" s="294"/>
      <c r="I497" s="294"/>
      <c r="J497" s="294"/>
      <c r="K497" s="294">
        <f t="shared" si="78"/>
        <v>2.1856</v>
      </c>
      <c r="L497" s="294">
        <f t="shared" si="83"/>
        <v>0.59361437367566949</v>
      </c>
      <c r="M497" s="297">
        <f t="shared" si="82"/>
        <v>3.9960566681552057</v>
      </c>
      <c r="N497" s="294">
        <v>0</v>
      </c>
      <c r="O497" s="294" t="str">
        <f t="shared" si="75"/>
        <v/>
      </c>
      <c r="P497" s="294"/>
    </row>
    <row r="498" spans="1:16">
      <c r="A498" s="294"/>
      <c r="B498" s="294" t="s">
        <v>555</v>
      </c>
      <c r="C498" s="294" t="s">
        <v>556</v>
      </c>
      <c r="D498" s="295" t="s">
        <v>1056</v>
      </c>
      <c r="E498" s="296">
        <v>5</v>
      </c>
      <c r="F498" s="294">
        <v>19.399999999999999</v>
      </c>
      <c r="G498" s="294">
        <v>21.1</v>
      </c>
      <c r="H498" s="294"/>
      <c r="I498" s="294"/>
      <c r="J498" s="294"/>
      <c r="K498" s="294">
        <f t="shared" si="78"/>
        <v>2.0344000000000002</v>
      </c>
      <c r="L498" s="294">
        <f t="shared" si="83"/>
        <v>0.67396814722434939</v>
      </c>
      <c r="M498" s="297">
        <f t="shared" si="82"/>
        <v>3.4019732691276277</v>
      </c>
      <c r="N498" s="294">
        <v>0</v>
      </c>
      <c r="O498" s="294" t="str">
        <f t="shared" si="75"/>
        <v/>
      </c>
      <c r="P498" s="294"/>
    </row>
    <row r="499" spans="1:16">
      <c r="A499" s="294"/>
      <c r="B499" s="294" t="s">
        <v>555</v>
      </c>
      <c r="C499" s="294" t="s">
        <v>556</v>
      </c>
      <c r="D499" s="295" t="s">
        <v>1056</v>
      </c>
      <c r="E499" s="296">
        <v>6</v>
      </c>
      <c r="F499" s="294">
        <v>21.1</v>
      </c>
      <c r="G499" s="294">
        <v>16.5</v>
      </c>
      <c r="H499" s="294"/>
      <c r="I499" s="294"/>
      <c r="J499" s="294"/>
      <c r="K499" s="294">
        <f t="shared" si="78"/>
        <v>1.9935999999999998</v>
      </c>
      <c r="L499" s="294">
        <f t="shared" si="83"/>
        <v>0.69375912088466873</v>
      </c>
      <c r="M499" s="297">
        <f t="shared" si="82"/>
        <v>3.6516226429978893</v>
      </c>
      <c r="N499" s="294">
        <v>0</v>
      </c>
      <c r="O499" s="294" t="str">
        <f t="shared" si="75"/>
        <v/>
      </c>
      <c r="P499" s="294"/>
    </row>
    <row r="500" spans="1:16">
      <c r="A500" s="294"/>
      <c r="B500" s="294" t="s">
        <v>555</v>
      </c>
      <c r="C500" s="294" t="s">
        <v>556</v>
      </c>
      <c r="D500" s="295" t="s">
        <v>1056</v>
      </c>
      <c r="E500" s="296">
        <v>7</v>
      </c>
      <c r="F500" s="294">
        <v>25.4</v>
      </c>
      <c r="G500" s="294">
        <v>17.100000000000001</v>
      </c>
      <c r="H500" s="294"/>
      <c r="I500" s="294"/>
      <c r="J500" s="294"/>
      <c r="K500" s="294">
        <f t="shared" si="78"/>
        <v>1.8904000000000001</v>
      </c>
      <c r="L500" s="294">
        <f t="shared" si="83"/>
        <v>0.73970436015123497</v>
      </c>
      <c r="M500" s="297">
        <f t="shared" si="82"/>
        <v>3.4617705714572451</v>
      </c>
      <c r="N500" s="294">
        <v>1</v>
      </c>
      <c r="O500" s="294">
        <f t="shared" si="75"/>
        <v>3.4617705714572451</v>
      </c>
      <c r="P500" s="294"/>
    </row>
    <row r="501" spans="1:16">
      <c r="A501" s="294"/>
      <c r="B501" s="294" t="s">
        <v>555</v>
      </c>
      <c r="C501" s="294" t="s">
        <v>556</v>
      </c>
      <c r="D501" s="295" t="s">
        <v>1056</v>
      </c>
      <c r="E501" s="296">
        <v>8</v>
      </c>
      <c r="F501" s="294">
        <v>25.6</v>
      </c>
      <c r="G501" s="294">
        <v>15</v>
      </c>
      <c r="H501" s="294"/>
      <c r="I501" s="294"/>
      <c r="J501" s="294"/>
      <c r="K501" s="294">
        <f t="shared" si="78"/>
        <v>1.8855999999999999</v>
      </c>
      <c r="L501" s="294">
        <f t="shared" si="83"/>
        <v>0.74169310776479802</v>
      </c>
      <c r="M501" s="297">
        <f t="shared" si="82"/>
        <v>3.6199621747484123</v>
      </c>
      <c r="N501" s="294">
        <v>1</v>
      </c>
      <c r="O501" s="294">
        <f t="shared" si="75"/>
        <v>3.6199621747484123</v>
      </c>
      <c r="P501" s="294"/>
    </row>
    <row r="502" spans="1:16">
      <c r="A502" s="294"/>
      <c r="B502" s="294" t="s">
        <v>555</v>
      </c>
      <c r="C502" s="294" t="s">
        <v>556</v>
      </c>
      <c r="D502" s="295" t="s">
        <v>1056</v>
      </c>
      <c r="E502" s="296">
        <v>9</v>
      </c>
      <c r="F502" s="294">
        <v>21.6</v>
      </c>
      <c r="G502" s="294">
        <v>11.6</v>
      </c>
      <c r="H502" s="294"/>
      <c r="I502" s="294"/>
      <c r="J502" s="294"/>
      <c r="K502" s="294">
        <f t="shared" si="78"/>
        <v>1.9815999999999998</v>
      </c>
      <c r="L502" s="294">
        <f t="shared" si="83"/>
        <v>0.69940915925890268</v>
      </c>
      <c r="M502" s="297">
        <f t="shared" si="82"/>
        <v>3.9811519734150913</v>
      </c>
      <c r="N502" s="294">
        <v>0</v>
      </c>
      <c r="O502" s="294" t="str">
        <f t="shared" si="75"/>
        <v/>
      </c>
      <c r="P502" s="294"/>
    </row>
    <row r="503" spans="1:16">
      <c r="A503" s="294"/>
      <c r="B503" s="294" t="s">
        <v>555</v>
      </c>
      <c r="C503" s="294" t="s">
        <v>556</v>
      </c>
      <c r="D503" s="295" t="s">
        <v>1056</v>
      </c>
      <c r="E503" s="296">
        <v>10</v>
      </c>
      <c r="F503" s="294">
        <v>16.7</v>
      </c>
      <c r="G503" s="294">
        <v>12.5</v>
      </c>
      <c r="H503" s="294"/>
      <c r="I503" s="294"/>
      <c r="J503" s="294"/>
      <c r="K503" s="294">
        <f t="shared" si="78"/>
        <v>2.0992000000000002</v>
      </c>
      <c r="L503" s="294">
        <f t="shared" si="83"/>
        <v>0.64078736157508165</v>
      </c>
      <c r="M503" s="297">
        <f t="shared" si="82"/>
        <v>4.036867185624188</v>
      </c>
      <c r="N503" s="294">
        <v>0</v>
      </c>
      <c r="O503" s="294" t="str">
        <f t="shared" si="75"/>
        <v/>
      </c>
      <c r="P503" s="294"/>
    </row>
    <row r="504" spans="1:16">
      <c r="A504" s="294"/>
      <c r="B504" s="294" t="s">
        <v>555</v>
      </c>
      <c r="C504" s="294" t="s">
        <v>556</v>
      </c>
      <c r="D504" s="295" t="s">
        <v>1056</v>
      </c>
      <c r="E504" s="296">
        <v>11</v>
      </c>
      <c r="F504" s="294">
        <v>12.5</v>
      </c>
      <c r="G504" s="294">
        <v>7.6</v>
      </c>
      <c r="H504" s="294"/>
      <c r="I504" s="294"/>
      <c r="J504" s="294"/>
      <c r="K504" s="294">
        <f t="shared" si="78"/>
        <v>2.2000000000000002</v>
      </c>
      <c r="L504" s="294">
        <f t="shared" si="83"/>
        <v>0.58547499969373429</v>
      </c>
      <c r="M504" s="297">
        <f t="shared" si="82"/>
        <v>4.395490000211602</v>
      </c>
      <c r="N504" s="294">
        <v>0</v>
      </c>
      <c r="O504" s="294" t="str">
        <f t="shared" si="75"/>
        <v/>
      </c>
      <c r="P504" s="294"/>
    </row>
    <row r="505" spans="1:16">
      <c r="A505" s="294"/>
      <c r="B505" s="294" t="s">
        <v>555</v>
      </c>
      <c r="C505" s="294" t="s">
        <v>556</v>
      </c>
      <c r="D505" s="295" t="s">
        <v>1056</v>
      </c>
      <c r="E505" s="296">
        <v>12</v>
      </c>
      <c r="F505" s="294">
        <v>7.2</v>
      </c>
      <c r="G505" s="294">
        <v>8.3000000000000007</v>
      </c>
      <c r="H505" s="294"/>
      <c r="I505" s="294"/>
      <c r="J505" s="294"/>
      <c r="K505" s="294">
        <f t="shared" si="78"/>
        <v>2.3271999999999999</v>
      </c>
      <c r="L505" s="294">
        <f t="shared" si="83"/>
        <v>0.51117445743276591</v>
      </c>
      <c r="M505" s="297">
        <f t="shared" si="82"/>
        <v>4.4353774495795841</v>
      </c>
      <c r="N505" s="294">
        <v>0</v>
      </c>
      <c r="O505" s="294" t="str">
        <f t="shared" si="75"/>
        <v/>
      </c>
      <c r="P505" s="294"/>
    </row>
    <row r="506" spans="1:16">
      <c r="A506" s="294">
        <v>43</v>
      </c>
      <c r="B506" s="294" t="s">
        <v>555</v>
      </c>
      <c r="C506" s="294" t="s">
        <v>557</v>
      </c>
      <c r="D506" s="295" t="s">
        <v>1056</v>
      </c>
      <c r="E506" s="296">
        <v>1</v>
      </c>
      <c r="F506" s="294">
        <v>3.7</v>
      </c>
      <c r="G506" s="308">
        <f t="shared" ref="G506:G517" si="84">$T$11+$T$12*H506+INDEX($T$13:$T$24,MATCH(E506,$S$13:$S$24,0),1)</f>
        <v>11.0124982</v>
      </c>
      <c r="H506" s="294">
        <v>198</v>
      </c>
      <c r="I506" s="306">
        <v>0.81200000000000006</v>
      </c>
      <c r="J506" s="307">
        <v>0.34</v>
      </c>
      <c r="K506" s="294">
        <f t="shared" si="78"/>
        <v>2.4112</v>
      </c>
      <c r="L506" s="294">
        <f t="shared" si="83"/>
        <v>0.46090951699322635</v>
      </c>
      <c r="M506" s="309">
        <f>$I$506*L506*(G506/K506)+$J$506</f>
        <v>2.0493237241687248</v>
      </c>
      <c r="N506" s="294">
        <v>0</v>
      </c>
      <c r="O506" s="294" t="str">
        <f t="shared" si="75"/>
        <v/>
      </c>
      <c r="P506" s="294">
        <f>AVERAGE(O506:O517)</f>
        <v>5.6253392808657843</v>
      </c>
    </row>
    <row r="507" spans="1:16">
      <c r="A507" s="294"/>
      <c r="B507" s="294" t="s">
        <v>555</v>
      </c>
      <c r="C507" s="294" t="s">
        <v>557</v>
      </c>
      <c r="D507" s="295" t="s">
        <v>1056</v>
      </c>
      <c r="E507" s="296">
        <v>2</v>
      </c>
      <c r="F507" s="294">
        <v>3.8</v>
      </c>
      <c r="G507" s="308">
        <f t="shared" si="84"/>
        <v>12.24468527</v>
      </c>
      <c r="H507" s="294">
        <v>171.9</v>
      </c>
      <c r="I507" s="297"/>
      <c r="J507" s="297"/>
      <c r="K507" s="294">
        <f t="shared" si="78"/>
        <v>2.4087999999999998</v>
      </c>
      <c r="L507" s="294">
        <f t="shared" si="83"/>
        <v>0.46234626619550639</v>
      </c>
      <c r="M507" s="309">
        <f t="shared" ref="M507:M517" si="85">$I$506*L507*(G507/K507)+$J$506</f>
        <v>2.2484037804893626</v>
      </c>
      <c r="N507" s="294">
        <v>0</v>
      </c>
      <c r="O507" s="294" t="str">
        <f t="shared" si="75"/>
        <v/>
      </c>
      <c r="P507" s="294"/>
    </row>
    <row r="508" spans="1:16">
      <c r="A508" s="294"/>
      <c r="B508" s="294" t="s">
        <v>555</v>
      </c>
      <c r="C508" s="294" t="s">
        <v>557</v>
      </c>
      <c r="D508" s="295" t="s">
        <v>1056</v>
      </c>
      <c r="E508" s="296">
        <v>3</v>
      </c>
      <c r="F508" s="294">
        <v>8.4</v>
      </c>
      <c r="G508" s="308">
        <f t="shared" si="84"/>
        <v>15.434029430000002</v>
      </c>
      <c r="H508" s="294">
        <v>206.1</v>
      </c>
      <c r="I508" s="297"/>
      <c r="J508" s="297"/>
      <c r="K508" s="294">
        <f t="shared" si="78"/>
        <v>2.2984</v>
      </c>
      <c r="L508" s="294">
        <f t="shared" si="83"/>
        <v>0.52828541148097485</v>
      </c>
      <c r="M508" s="309">
        <f t="shared" si="85"/>
        <v>3.2205695012393258</v>
      </c>
      <c r="N508" s="294">
        <v>0</v>
      </c>
      <c r="O508" s="294" t="str">
        <f t="shared" si="75"/>
        <v/>
      </c>
      <c r="P508" s="294"/>
    </row>
    <row r="509" spans="1:16">
      <c r="A509" s="294"/>
      <c r="B509" s="294" t="s">
        <v>555</v>
      </c>
      <c r="C509" s="294" t="s">
        <v>557</v>
      </c>
      <c r="D509" s="295" t="s">
        <v>1056</v>
      </c>
      <c r="E509" s="296">
        <v>4</v>
      </c>
      <c r="F509" s="294">
        <v>12.8</v>
      </c>
      <c r="G509" s="308">
        <f t="shared" si="84"/>
        <v>15.889820199999999</v>
      </c>
      <c r="H509" s="294">
        <v>174</v>
      </c>
      <c r="I509" s="297"/>
      <c r="J509" s="297"/>
      <c r="K509" s="294">
        <f t="shared" si="78"/>
        <v>2.1928000000000001</v>
      </c>
      <c r="L509" s="294">
        <f t="shared" si="83"/>
        <v>0.58955346412535858</v>
      </c>
      <c r="M509" s="309">
        <f t="shared" si="85"/>
        <v>3.8089591468032409</v>
      </c>
      <c r="N509" s="294">
        <v>0</v>
      </c>
      <c r="O509" s="294" t="str">
        <f t="shared" si="75"/>
        <v/>
      </c>
      <c r="P509" s="294"/>
    </row>
    <row r="510" spans="1:16">
      <c r="A510" s="294"/>
      <c r="B510" s="294" t="s">
        <v>555</v>
      </c>
      <c r="C510" s="294" t="s">
        <v>557</v>
      </c>
      <c r="D510" s="295" t="s">
        <v>1056</v>
      </c>
      <c r="E510" s="296">
        <v>5</v>
      </c>
      <c r="F510" s="294">
        <v>18.8</v>
      </c>
      <c r="G510" s="308">
        <f t="shared" si="84"/>
        <v>21.44334018</v>
      </c>
      <c r="H510" s="294">
        <v>256.60000000000002</v>
      </c>
      <c r="I510" s="297"/>
      <c r="J510" s="297"/>
      <c r="K510" s="294">
        <f t="shared" si="78"/>
        <v>2.0488</v>
      </c>
      <c r="L510" s="294">
        <f t="shared" si="83"/>
        <v>0.66677466843060351</v>
      </c>
      <c r="M510" s="309">
        <f t="shared" si="85"/>
        <v>6.0066709016566184</v>
      </c>
      <c r="N510" s="294">
        <v>0</v>
      </c>
      <c r="O510" s="294" t="str">
        <f t="shared" si="75"/>
        <v/>
      </c>
      <c r="P510" s="294"/>
    </row>
    <row r="511" spans="1:16">
      <c r="A511" s="294"/>
      <c r="B511" s="294" t="s">
        <v>555</v>
      </c>
      <c r="C511" s="294" t="s">
        <v>557</v>
      </c>
      <c r="D511" s="295" t="s">
        <v>1056</v>
      </c>
      <c r="E511" s="296">
        <v>6</v>
      </c>
      <c r="F511" s="294">
        <v>20.9</v>
      </c>
      <c r="G511" s="308">
        <f t="shared" si="84"/>
        <v>16.829448620000001</v>
      </c>
      <c r="H511" s="294">
        <v>153.4</v>
      </c>
      <c r="I511" s="297"/>
      <c r="J511" s="297"/>
      <c r="K511" s="294">
        <f t="shared" si="78"/>
        <v>1.9984000000000002</v>
      </c>
      <c r="L511" s="294">
        <f t="shared" si="83"/>
        <v>0.69147707180847306</v>
      </c>
      <c r="M511" s="309">
        <f t="shared" si="85"/>
        <v>5.0684769894665251</v>
      </c>
      <c r="N511" s="294">
        <v>0</v>
      </c>
      <c r="O511" s="294" t="str">
        <f t="shared" si="75"/>
        <v/>
      </c>
      <c r="P511" s="294"/>
    </row>
    <row r="512" spans="1:16">
      <c r="A512" s="294"/>
      <c r="B512" s="294" t="s">
        <v>555</v>
      </c>
      <c r="C512" s="294" t="s">
        <v>557</v>
      </c>
      <c r="D512" s="295" t="s">
        <v>1056</v>
      </c>
      <c r="E512" s="296">
        <v>7</v>
      </c>
      <c r="F512" s="294">
        <v>25.2</v>
      </c>
      <c r="G512" s="308">
        <f t="shared" si="84"/>
        <v>17.685052300000002</v>
      </c>
      <c r="H512" s="294">
        <v>181</v>
      </c>
      <c r="I512" s="297"/>
      <c r="J512" s="297"/>
      <c r="K512" s="294">
        <f t="shared" si="78"/>
        <v>1.8952</v>
      </c>
      <c r="L512" s="294">
        <f t="shared" si="83"/>
        <v>0.73770227369576269</v>
      </c>
      <c r="M512" s="309">
        <f t="shared" si="85"/>
        <v>5.9296993843480612</v>
      </c>
      <c r="N512" s="294">
        <v>1</v>
      </c>
      <c r="O512" s="294">
        <f t="shared" si="75"/>
        <v>5.9296993843480612</v>
      </c>
      <c r="P512" s="294"/>
    </row>
    <row r="513" spans="1:16">
      <c r="A513" s="294"/>
      <c r="B513" s="294" t="s">
        <v>555</v>
      </c>
      <c r="C513" s="294" t="s">
        <v>557</v>
      </c>
      <c r="D513" s="295" t="s">
        <v>1056</v>
      </c>
      <c r="E513" s="296">
        <v>8</v>
      </c>
      <c r="F513" s="294">
        <v>25.6</v>
      </c>
      <c r="G513" s="308">
        <f t="shared" si="84"/>
        <v>15.594951309999999</v>
      </c>
      <c r="H513" s="294">
        <v>151.69999999999999</v>
      </c>
      <c r="I513" s="297"/>
      <c r="J513" s="297"/>
      <c r="K513" s="294">
        <f t="shared" si="78"/>
        <v>1.8855999999999999</v>
      </c>
      <c r="L513" s="294">
        <f t="shared" si="83"/>
        <v>0.74169310776479802</v>
      </c>
      <c r="M513" s="309">
        <f t="shared" si="85"/>
        <v>5.3209791773835073</v>
      </c>
      <c r="N513" s="294">
        <v>1</v>
      </c>
      <c r="O513" s="294">
        <f t="shared" si="75"/>
        <v>5.3209791773835073</v>
      </c>
      <c r="P513" s="294"/>
    </row>
    <row r="514" spans="1:16">
      <c r="A514" s="294"/>
      <c r="B514" s="294" t="s">
        <v>555</v>
      </c>
      <c r="C514" s="294" t="s">
        <v>557</v>
      </c>
      <c r="D514" s="295" t="s">
        <v>1056</v>
      </c>
      <c r="E514" s="296">
        <v>9</v>
      </c>
      <c r="F514" s="294">
        <v>21.5</v>
      </c>
      <c r="G514" s="308">
        <f t="shared" si="84"/>
        <v>12.377628339999999</v>
      </c>
      <c r="H514" s="294">
        <v>119.8</v>
      </c>
      <c r="I514" s="297"/>
      <c r="J514" s="297"/>
      <c r="K514" s="294">
        <f t="shared" si="78"/>
        <v>1.984</v>
      </c>
      <c r="L514" s="294">
        <f t="shared" si="83"/>
        <v>0.69828547686607079</v>
      </c>
      <c r="M514" s="309">
        <f t="shared" si="85"/>
        <v>3.8774051933410933</v>
      </c>
      <c r="N514" s="294">
        <v>0</v>
      </c>
      <c r="O514" s="294" t="str">
        <f t="shared" ref="O514:O577" si="86">IF(N514*M514=0,"",N514*M514)</f>
        <v/>
      </c>
      <c r="P514" s="294"/>
    </row>
    <row r="515" spans="1:16">
      <c r="A515" s="294"/>
      <c r="B515" s="294" t="s">
        <v>555</v>
      </c>
      <c r="C515" s="294" t="s">
        <v>557</v>
      </c>
      <c r="D515" s="295" t="s">
        <v>1056</v>
      </c>
      <c r="E515" s="296">
        <v>10</v>
      </c>
      <c r="F515" s="294">
        <v>16.8</v>
      </c>
      <c r="G515" s="308">
        <f t="shared" si="84"/>
        <v>12.945160319999999</v>
      </c>
      <c r="H515" s="294">
        <v>198.4</v>
      </c>
      <c r="I515" s="297"/>
      <c r="J515" s="297"/>
      <c r="K515" s="294">
        <f t="shared" si="78"/>
        <v>2.0968</v>
      </c>
      <c r="L515" s="294">
        <f t="shared" si="83"/>
        <v>0.64205231419896891</v>
      </c>
      <c r="M515" s="309">
        <f t="shared" si="85"/>
        <v>3.5586730992940305</v>
      </c>
      <c r="N515" s="294">
        <v>0</v>
      </c>
      <c r="O515" s="294" t="str">
        <f t="shared" si="86"/>
        <v/>
      </c>
      <c r="P515" s="294"/>
    </row>
    <row r="516" spans="1:16">
      <c r="A516" s="294"/>
      <c r="B516" s="294" t="s">
        <v>555</v>
      </c>
      <c r="C516" s="294" t="s">
        <v>557</v>
      </c>
      <c r="D516" s="295" t="s">
        <v>1056</v>
      </c>
      <c r="E516" s="296">
        <v>11</v>
      </c>
      <c r="F516" s="294">
        <v>12.6</v>
      </c>
      <c r="G516" s="308">
        <f t="shared" si="84"/>
        <v>8.4975341399999991</v>
      </c>
      <c r="H516" s="294">
        <v>129.80000000000001</v>
      </c>
      <c r="I516" s="297"/>
      <c r="J516" s="297"/>
      <c r="K516" s="294">
        <f t="shared" si="78"/>
        <v>2.1976</v>
      </c>
      <c r="L516" s="294">
        <f t="shared" si="83"/>
        <v>0.58683640404243798</v>
      </c>
      <c r="M516" s="309">
        <f t="shared" si="85"/>
        <v>2.1825417960009585</v>
      </c>
      <c r="N516" s="294">
        <v>0</v>
      </c>
      <c r="O516" s="294" t="str">
        <f t="shared" si="86"/>
        <v/>
      </c>
      <c r="P516" s="294"/>
    </row>
    <row r="517" spans="1:16">
      <c r="A517" s="294"/>
      <c r="B517" s="294" t="s">
        <v>555</v>
      </c>
      <c r="C517" s="294" t="s">
        <v>557</v>
      </c>
      <c r="D517" s="295" t="s">
        <v>1056</v>
      </c>
      <c r="E517" s="296">
        <v>12</v>
      </c>
      <c r="F517" s="294">
        <v>7.3</v>
      </c>
      <c r="G517" s="308">
        <f t="shared" si="84"/>
        <v>9.3554191700000011</v>
      </c>
      <c r="H517" s="294">
        <v>176.9</v>
      </c>
      <c r="I517" s="297"/>
      <c r="J517" s="297"/>
      <c r="K517" s="294">
        <f t="shared" si="78"/>
        <v>2.3248000000000002</v>
      </c>
      <c r="L517" s="294">
        <f t="shared" si="83"/>
        <v>0.5126044692087397</v>
      </c>
      <c r="M517" s="309">
        <f t="shared" si="85"/>
        <v>2.0150048599556314</v>
      </c>
      <c r="N517" s="294">
        <v>0</v>
      </c>
      <c r="O517" s="294" t="str">
        <f t="shared" si="86"/>
        <v/>
      </c>
      <c r="P517" s="294"/>
    </row>
    <row r="518" spans="1:16">
      <c r="A518" s="294">
        <v>44</v>
      </c>
      <c r="B518" s="294" t="s">
        <v>558</v>
      </c>
      <c r="C518" s="294" t="s">
        <v>559</v>
      </c>
      <c r="D518" s="295" t="s">
        <v>1057</v>
      </c>
      <c r="E518" s="296">
        <v>1</v>
      </c>
      <c r="F518" s="294">
        <v>4.0999999999999996</v>
      </c>
      <c r="G518" s="294">
        <v>9.8000000000000007</v>
      </c>
      <c r="H518" s="294"/>
      <c r="I518" s="294">
        <v>0.77</v>
      </c>
      <c r="J518" s="294">
        <v>1.1399999999999999</v>
      </c>
      <c r="K518" s="294">
        <f t="shared" si="78"/>
        <v>2.4016000000000002</v>
      </c>
      <c r="L518" s="294">
        <f t="shared" si="79"/>
        <v>0.46665792306441634</v>
      </c>
      <c r="M518" s="297">
        <f>$I$518*L518*(G518/K518)+$J$518</f>
        <v>2.6062727712541998</v>
      </c>
      <c r="N518" s="294">
        <v>0</v>
      </c>
      <c r="O518" s="294" t="str">
        <f t="shared" si="86"/>
        <v/>
      </c>
      <c r="P518" s="294">
        <f>AVERAGE(O518:O529)</f>
        <v>5.9811264518300273</v>
      </c>
    </row>
    <row r="519" spans="1:16">
      <c r="A519" s="294"/>
      <c r="B519" s="294" t="s">
        <v>558</v>
      </c>
      <c r="C519" s="294" t="s">
        <v>559</v>
      </c>
      <c r="D519" s="295" t="s">
        <v>1057</v>
      </c>
      <c r="E519" s="296">
        <v>2</v>
      </c>
      <c r="F519" s="294">
        <v>4.5999999999999996</v>
      </c>
      <c r="G519" s="294">
        <v>12.2</v>
      </c>
      <c r="H519" s="294"/>
      <c r="I519" s="294"/>
      <c r="J519" s="294"/>
      <c r="K519" s="294">
        <f t="shared" si="78"/>
        <v>2.3896000000000002</v>
      </c>
      <c r="L519" s="294">
        <f t="shared" si="79"/>
        <v>0.47384714452252824</v>
      </c>
      <c r="M519" s="297">
        <f t="shared" ref="M519:M529" si="87">$I$518*L519*(G519/K519)+$J$518</f>
        <v>3.0027887829112108</v>
      </c>
      <c r="N519" s="294">
        <v>0</v>
      </c>
      <c r="O519" s="294" t="str">
        <f t="shared" si="86"/>
        <v/>
      </c>
      <c r="P519" s="294"/>
    </row>
    <row r="520" spans="1:16">
      <c r="A520" s="294"/>
      <c r="B520" s="294" t="s">
        <v>558</v>
      </c>
      <c r="C520" s="294" t="s">
        <v>559</v>
      </c>
      <c r="D520" s="295" t="s">
        <v>1057</v>
      </c>
      <c r="E520" s="296">
        <v>3</v>
      </c>
      <c r="F520" s="294">
        <v>8.8000000000000007</v>
      </c>
      <c r="G520" s="294">
        <v>15</v>
      </c>
      <c r="H520" s="294"/>
      <c r="I520" s="294"/>
      <c r="J520" s="294"/>
      <c r="K520" s="294">
        <f t="shared" si="78"/>
        <v>2.2888000000000002</v>
      </c>
      <c r="L520" s="294">
        <f t="shared" si="79"/>
        <v>0.5339611698231046</v>
      </c>
      <c r="M520" s="297">
        <f t="shared" si="87"/>
        <v>3.8345349141283016</v>
      </c>
      <c r="N520" s="294">
        <v>0</v>
      </c>
      <c r="O520" s="294" t="str">
        <f t="shared" si="86"/>
        <v/>
      </c>
      <c r="P520" s="294"/>
    </row>
    <row r="521" spans="1:16">
      <c r="A521" s="294"/>
      <c r="B521" s="294" t="s">
        <v>558</v>
      </c>
      <c r="C521" s="294" t="s">
        <v>559</v>
      </c>
      <c r="D521" s="295" t="s">
        <v>1057</v>
      </c>
      <c r="E521" s="296">
        <v>4</v>
      </c>
      <c r="F521" s="294">
        <v>14.1</v>
      </c>
      <c r="G521" s="294">
        <v>15.4</v>
      </c>
      <c r="H521" s="294"/>
      <c r="I521" s="294"/>
      <c r="J521" s="294"/>
      <c r="K521" s="294">
        <f t="shared" si="78"/>
        <v>2.1616</v>
      </c>
      <c r="L521" s="294">
        <f t="shared" si="79"/>
        <v>0.60701698364649326</v>
      </c>
      <c r="M521" s="297">
        <f t="shared" si="87"/>
        <v>4.4699442043301802</v>
      </c>
      <c r="N521" s="294">
        <v>0</v>
      </c>
      <c r="O521" s="294" t="str">
        <f t="shared" si="86"/>
        <v/>
      </c>
      <c r="P521" s="294"/>
    </row>
    <row r="522" spans="1:16">
      <c r="A522" s="294"/>
      <c r="B522" s="294" t="s">
        <v>558</v>
      </c>
      <c r="C522" s="294" t="s">
        <v>559</v>
      </c>
      <c r="D522" s="295" t="s">
        <v>1057</v>
      </c>
      <c r="E522" s="296">
        <v>5</v>
      </c>
      <c r="F522" s="294">
        <v>21</v>
      </c>
      <c r="G522" s="294">
        <v>22</v>
      </c>
      <c r="H522" s="294"/>
      <c r="I522" s="294"/>
      <c r="J522" s="294"/>
      <c r="K522" s="294">
        <f t="shared" si="78"/>
        <v>1.996</v>
      </c>
      <c r="L522" s="294">
        <f t="shared" si="79"/>
        <v>0.69261966250512974</v>
      </c>
      <c r="M522" s="297">
        <f t="shared" si="87"/>
        <v>7.0182450314814115</v>
      </c>
      <c r="N522" s="294">
        <v>0</v>
      </c>
      <c r="O522" s="294" t="str">
        <f t="shared" si="86"/>
        <v/>
      </c>
      <c r="P522" s="294"/>
    </row>
    <row r="523" spans="1:16">
      <c r="A523" s="294"/>
      <c r="B523" s="294" t="s">
        <v>558</v>
      </c>
      <c r="C523" s="294" t="s">
        <v>559</v>
      </c>
      <c r="D523" s="295" t="s">
        <v>1057</v>
      </c>
      <c r="E523" s="296">
        <v>6</v>
      </c>
      <c r="F523" s="294">
        <v>22.1</v>
      </c>
      <c r="G523" s="294">
        <v>17.3</v>
      </c>
      <c r="H523" s="294"/>
      <c r="I523" s="294"/>
      <c r="J523" s="294"/>
      <c r="K523" s="294">
        <f t="shared" si="78"/>
        <v>1.9695999999999998</v>
      </c>
      <c r="L523" s="294">
        <f t="shared" si="79"/>
        <v>0.70497978087041202</v>
      </c>
      <c r="M523" s="297">
        <f t="shared" si="87"/>
        <v>5.9079912982203284</v>
      </c>
      <c r="N523" s="294">
        <v>0</v>
      </c>
      <c r="O523" s="294" t="str">
        <f t="shared" si="86"/>
        <v/>
      </c>
      <c r="P523" s="294"/>
    </row>
    <row r="524" spans="1:16">
      <c r="A524" s="294"/>
      <c r="B524" s="294" t="s">
        <v>558</v>
      </c>
      <c r="C524" s="294" t="s">
        <v>559</v>
      </c>
      <c r="D524" s="295" t="s">
        <v>1057</v>
      </c>
      <c r="E524" s="296">
        <v>7</v>
      </c>
      <c r="F524" s="294">
        <v>26.6</v>
      </c>
      <c r="G524" s="294">
        <v>16.8</v>
      </c>
      <c r="H524" s="294"/>
      <c r="I524" s="294"/>
      <c r="J524" s="294"/>
      <c r="K524" s="294">
        <f t="shared" si="78"/>
        <v>1.8615999999999999</v>
      </c>
      <c r="L524" s="294">
        <f t="shared" si="79"/>
        <v>0.75143645769154999</v>
      </c>
      <c r="M524" s="297">
        <f t="shared" si="87"/>
        <v>6.3616276411140369</v>
      </c>
      <c r="N524" s="294">
        <v>1</v>
      </c>
      <c r="O524" s="294">
        <f t="shared" si="86"/>
        <v>6.3616276411140369</v>
      </c>
      <c r="P524" s="294"/>
    </row>
    <row r="525" spans="1:16">
      <c r="A525" s="294"/>
      <c r="B525" s="294" t="s">
        <v>558</v>
      </c>
      <c r="C525" s="294" t="s">
        <v>559</v>
      </c>
      <c r="D525" s="295" t="s">
        <v>1057</v>
      </c>
      <c r="E525" s="296">
        <v>8</v>
      </c>
      <c r="F525" s="294">
        <v>26.2</v>
      </c>
      <c r="G525" s="294">
        <v>14.5</v>
      </c>
      <c r="H525" s="294"/>
      <c r="I525" s="294"/>
      <c r="J525" s="294"/>
      <c r="K525" s="294">
        <f t="shared" si="78"/>
        <v>1.8712</v>
      </c>
      <c r="L525" s="294">
        <f t="shared" si="79"/>
        <v>0.74757921999786014</v>
      </c>
      <c r="M525" s="297">
        <f t="shared" si="87"/>
        <v>5.6006252625460169</v>
      </c>
      <c r="N525" s="294">
        <v>1</v>
      </c>
      <c r="O525" s="294">
        <f t="shared" si="86"/>
        <v>5.6006252625460169</v>
      </c>
      <c r="P525" s="294"/>
    </row>
    <row r="526" spans="1:16">
      <c r="A526" s="294"/>
      <c r="B526" s="294" t="s">
        <v>558</v>
      </c>
      <c r="C526" s="294" t="s">
        <v>559</v>
      </c>
      <c r="D526" s="295" t="s">
        <v>1057</v>
      </c>
      <c r="E526" s="296">
        <v>9</v>
      </c>
      <c r="F526" s="294">
        <v>21.9</v>
      </c>
      <c r="G526" s="294">
        <v>12</v>
      </c>
      <c r="H526" s="294"/>
      <c r="I526" s="294"/>
      <c r="J526" s="294"/>
      <c r="K526" s="294">
        <f t="shared" si="78"/>
        <v>1.9744000000000002</v>
      </c>
      <c r="L526" s="294">
        <f t="shared" si="79"/>
        <v>0.70276111711361078</v>
      </c>
      <c r="M526" s="297">
        <f t="shared" si="87"/>
        <v>4.4288536882747991</v>
      </c>
      <c r="N526" s="294">
        <v>0</v>
      </c>
      <c r="O526" s="294" t="str">
        <f t="shared" si="86"/>
        <v/>
      </c>
      <c r="P526" s="294"/>
    </row>
    <row r="527" spans="1:16">
      <c r="A527" s="294"/>
      <c r="B527" s="294" t="s">
        <v>558</v>
      </c>
      <c r="C527" s="294" t="s">
        <v>559</v>
      </c>
      <c r="D527" s="295" t="s">
        <v>1057</v>
      </c>
      <c r="E527" s="296">
        <v>10</v>
      </c>
      <c r="F527" s="294">
        <v>17.2</v>
      </c>
      <c r="G527" s="294">
        <v>13.8</v>
      </c>
      <c r="H527" s="294"/>
      <c r="I527" s="294"/>
      <c r="J527" s="294"/>
      <c r="K527" s="294">
        <f t="shared" si="78"/>
        <v>2.0872000000000002</v>
      </c>
      <c r="L527" s="294">
        <f t="shared" si="79"/>
        <v>0.64708539575733404</v>
      </c>
      <c r="M527" s="297">
        <f t="shared" si="87"/>
        <v>4.4343318394583324</v>
      </c>
      <c r="N527" s="294">
        <v>0</v>
      </c>
      <c r="O527" s="294" t="str">
        <f t="shared" si="86"/>
        <v/>
      </c>
      <c r="P527" s="294"/>
    </row>
    <row r="528" spans="1:16">
      <c r="A528" s="294"/>
      <c r="B528" s="294" t="s">
        <v>558</v>
      </c>
      <c r="C528" s="294" t="s">
        <v>559</v>
      </c>
      <c r="D528" s="295" t="s">
        <v>1057</v>
      </c>
      <c r="E528" s="296">
        <v>11</v>
      </c>
      <c r="F528" s="294">
        <v>12.8</v>
      </c>
      <c r="G528" s="294">
        <v>8.3000000000000007</v>
      </c>
      <c r="H528" s="294"/>
      <c r="I528" s="294"/>
      <c r="J528" s="294"/>
      <c r="K528" s="294">
        <f t="shared" si="78"/>
        <v>2.1928000000000001</v>
      </c>
      <c r="L528" s="294">
        <f t="shared" si="79"/>
        <v>0.58955346412535858</v>
      </c>
      <c r="M528" s="297">
        <f t="shared" si="87"/>
        <v>2.8582762628717466</v>
      </c>
      <c r="N528" s="294">
        <v>0</v>
      </c>
      <c r="O528" s="294" t="str">
        <f t="shared" si="86"/>
        <v/>
      </c>
      <c r="P528" s="294"/>
    </row>
    <row r="529" spans="1:16">
      <c r="A529" s="294"/>
      <c r="B529" s="294" t="s">
        <v>558</v>
      </c>
      <c r="C529" s="294" t="s">
        <v>559</v>
      </c>
      <c r="D529" s="295" t="s">
        <v>1057</v>
      </c>
      <c r="E529" s="296">
        <v>12</v>
      </c>
      <c r="F529" s="294">
        <v>7.6</v>
      </c>
      <c r="G529" s="294">
        <v>8.6999999999999993</v>
      </c>
      <c r="H529" s="294"/>
      <c r="I529" s="294"/>
      <c r="J529" s="294"/>
      <c r="K529" s="294">
        <f t="shared" si="78"/>
        <v>2.3176000000000001</v>
      </c>
      <c r="L529" s="294">
        <f t="shared" si="79"/>
        <v>0.51689044020520014</v>
      </c>
      <c r="M529" s="297">
        <f t="shared" si="87"/>
        <v>2.6340667323673781</v>
      </c>
      <c r="N529" s="294">
        <v>0</v>
      </c>
      <c r="O529" s="294" t="str">
        <f t="shared" si="86"/>
        <v/>
      </c>
      <c r="P529" s="294"/>
    </row>
    <row r="530" spans="1:16">
      <c r="A530" s="294">
        <v>45</v>
      </c>
      <c r="B530" s="294" t="s">
        <v>305</v>
      </c>
      <c r="C530" s="294" t="s">
        <v>560</v>
      </c>
      <c r="D530" s="295" t="s">
        <v>1057</v>
      </c>
      <c r="E530" s="296">
        <v>1</v>
      </c>
      <c r="F530" s="294">
        <v>4.7</v>
      </c>
      <c r="G530" s="308">
        <f t="shared" ref="G530:G553" si="88">$T$11+$T$12*H530+INDEX($T$13:$T$24,MATCH(E530,$S$13:$S$24,0),1)</f>
        <v>1.9996768000000005</v>
      </c>
      <c r="H530" s="308"/>
      <c r="I530" s="306">
        <v>0.80800000000000005</v>
      </c>
      <c r="J530" s="307">
        <v>0.56000000000000005</v>
      </c>
      <c r="K530" s="294">
        <f t="shared" si="78"/>
        <v>2.3872</v>
      </c>
      <c r="L530" s="294">
        <f t="shared" si="79"/>
        <v>0.47528522193532502</v>
      </c>
      <c r="M530" s="309">
        <f>$I$530*L530*(G530/K530)+$J$530</f>
        <v>0.88168934316480896</v>
      </c>
      <c r="N530" s="294">
        <v>0</v>
      </c>
      <c r="O530" s="294" t="str">
        <f t="shared" si="86"/>
        <v/>
      </c>
      <c r="P530" s="294">
        <f>AVERAGE(O530:O541)</f>
        <v>3.5250687053118943</v>
      </c>
    </row>
    <row r="531" spans="1:16">
      <c r="A531" s="294"/>
      <c r="B531" s="294" t="s">
        <v>305</v>
      </c>
      <c r="C531" s="294" t="s">
        <v>560</v>
      </c>
      <c r="D531" s="295" t="s">
        <v>1057</v>
      </c>
      <c r="E531" s="296">
        <v>2</v>
      </c>
      <c r="F531" s="294">
        <v>4.9000000000000004</v>
      </c>
      <c r="G531" s="308">
        <f t="shared" si="88"/>
        <v>4.4199175999999998</v>
      </c>
      <c r="H531" s="308"/>
      <c r="I531" s="294"/>
      <c r="J531" s="294"/>
      <c r="K531" s="294">
        <f t="shared" si="78"/>
        <v>2.3824000000000001</v>
      </c>
      <c r="L531" s="294">
        <f t="shared" si="79"/>
        <v>0.47816140006637126</v>
      </c>
      <c r="M531" s="309">
        <f t="shared" ref="M531:M541" si="89">$I$530*L531*(G531/K531)+$J$530</f>
        <v>1.2767791563706969</v>
      </c>
      <c r="N531" s="294">
        <v>0</v>
      </c>
      <c r="O531" s="294" t="str">
        <f t="shared" si="86"/>
        <v/>
      </c>
      <c r="P531" s="294"/>
    </row>
    <row r="532" spans="1:16">
      <c r="A532" s="294"/>
      <c r="B532" s="294" t="s">
        <v>305</v>
      </c>
      <c r="C532" s="294" t="s">
        <v>560</v>
      </c>
      <c r="D532" s="295" t="s">
        <v>1057</v>
      </c>
      <c r="E532" s="296">
        <v>3</v>
      </c>
      <c r="F532" s="294">
        <v>9.6</v>
      </c>
      <c r="G532" s="308">
        <f t="shared" si="88"/>
        <v>6.0525017000000005</v>
      </c>
      <c r="H532" s="308"/>
      <c r="I532" s="294"/>
      <c r="J532" s="294"/>
      <c r="K532" s="294">
        <f t="shared" si="78"/>
        <v>2.2696000000000001</v>
      </c>
      <c r="L532" s="294">
        <f t="shared" si="79"/>
        <v>0.54526128290874298</v>
      </c>
      <c r="M532" s="309">
        <f t="shared" si="89"/>
        <v>1.7349019352015658</v>
      </c>
      <c r="N532" s="294">
        <v>0</v>
      </c>
      <c r="O532" s="294" t="str">
        <f t="shared" si="86"/>
        <v/>
      </c>
      <c r="P532" s="294"/>
    </row>
    <row r="533" spans="1:16">
      <c r="A533" s="294"/>
      <c r="B533" s="294" t="s">
        <v>305</v>
      </c>
      <c r="C533" s="294" t="s">
        <v>560</v>
      </c>
      <c r="D533" s="295" t="s">
        <v>1057</v>
      </c>
      <c r="E533" s="296">
        <v>4</v>
      </c>
      <c r="F533" s="294">
        <v>14.2</v>
      </c>
      <c r="G533" s="308">
        <f t="shared" si="88"/>
        <v>7.969462</v>
      </c>
      <c r="H533" s="308"/>
      <c r="I533" s="294"/>
      <c r="J533" s="294"/>
      <c r="K533" s="294">
        <f t="shared" si="78"/>
        <v>2.1592000000000002</v>
      </c>
      <c r="L533" s="294">
        <f t="shared" si="79"/>
        <v>0.60834542565835392</v>
      </c>
      <c r="M533" s="309">
        <f t="shared" si="89"/>
        <v>2.3742525417505211</v>
      </c>
      <c r="N533" s="294">
        <v>0</v>
      </c>
      <c r="O533" s="294" t="str">
        <f t="shared" si="86"/>
        <v/>
      </c>
      <c r="P533" s="294"/>
    </row>
    <row r="534" spans="1:16">
      <c r="A534" s="294"/>
      <c r="B534" s="294" t="s">
        <v>305</v>
      </c>
      <c r="C534" s="294" t="s">
        <v>560</v>
      </c>
      <c r="D534" s="295" t="s">
        <v>1057</v>
      </c>
      <c r="E534" s="296">
        <v>5</v>
      </c>
      <c r="F534" s="294">
        <v>21.2</v>
      </c>
      <c r="G534" s="308">
        <f t="shared" si="88"/>
        <v>9.763087800000001</v>
      </c>
      <c r="H534" s="308"/>
      <c r="I534" s="294"/>
      <c r="J534" s="294"/>
      <c r="K534" s="294">
        <f t="shared" si="78"/>
        <v>1.9912000000000001</v>
      </c>
      <c r="L534" s="294">
        <f t="shared" si="79"/>
        <v>0.69489543911089335</v>
      </c>
      <c r="M534" s="309">
        <f t="shared" si="89"/>
        <v>3.3129804884282037</v>
      </c>
      <c r="N534" s="294">
        <v>0</v>
      </c>
      <c r="O534" s="294" t="str">
        <f t="shared" si="86"/>
        <v/>
      </c>
      <c r="P534" s="294"/>
    </row>
    <row r="535" spans="1:16">
      <c r="A535" s="294"/>
      <c r="B535" s="294" t="s">
        <v>305</v>
      </c>
      <c r="C535" s="294" t="s">
        <v>560</v>
      </c>
      <c r="D535" s="295" t="s">
        <v>1057</v>
      </c>
      <c r="E535" s="296">
        <v>6</v>
      </c>
      <c r="F535" s="294">
        <v>22.4</v>
      </c>
      <c r="G535" s="308">
        <f t="shared" si="88"/>
        <v>9.8467880000000001</v>
      </c>
      <c r="H535" s="308"/>
      <c r="I535" s="294"/>
      <c r="J535" s="294"/>
      <c r="K535" s="294">
        <f t="shared" si="78"/>
        <v>1.9624000000000001</v>
      </c>
      <c r="L535" s="294">
        <f t="shared" si="79"/>
        <v>0.70828368713210621</v>
      </c>
      <c r="M535" s="309">
        <f t="shared" si="89"/>
        <v>3.4316112939904855</v>
      </c>
      <c r="N535" s="294">
        <v>0</v>
      </c>
      <c r="O535" s="294" t="str">
        <f t="shared" si="86"/>
        <v/>
      </c>
      <c r="P535" s="294"/>
    </row>
    <row r="536" spans="1:16">
      <c r="A536" s="294"/>
      <c r="B536" s="294" t="s">
        <v>305</v>
      </c>
      <c r="C536" s="294" t="s">
        <v>560</v>
      </c>
      <c r="D536" s="295" t="s">
        <v>1057</v>
      </c>
      <c r="E536" s="296">
        <v>7</v>
      </c>
      <c r="F536" s="294">
        <v>26.7</v>
      </c>
      <c r="G536" s="308">
        <f t="shared" si="88"/>
        <v>9.446059</v>
      </c>
      <c r="H536" s="308"/>
      <c r="I536" s="294"/>
      <c r="J536" s="294"/>
      <c r="K536" s="294">
        <f t="shared" si="78"/>
        <v>1.8592</v>
      </c>
      <c r="L536" s="294">
        <f t="shared" si="79"/>
        <v>0.75239240916315608</v>
      </c>
      <c r="M536" s="309">
        <f t="shared" si="89"/>
        <v>3.6487325813203038</v>
      </c>
      <c r="N536" s="294">
        <v>1</v>
      </c>
      <c r="O536" s="294">
        <f t="shared" si="86"/>
        <v>3.6487325813203038</v>
      </c>
      <c r="P536" s="294"/>
    </row>
    <row r="537" spans="1:16">
      <c r="A537" s="294"/>
      <c r="B537" s="294" t="s">
        <v>305</v>
      </c>
      <c r="C537" s="294" t="s">
        <v>560</v>
      </c>
      <c r="D537" s="295" t="s">
        <v>1057</v>
      </c>
      <c r="E537" s="296">
        <v>8</v>
      </c>
      <c r="F537" s="294">
        <v>26.7</v>
      </c>
      <c r="G537" s="308">
        <f t="shared" si="88"/>
        <v>8.6896734999999996</v>
      </c>
      <c r="H537" s="308"/>
      <c r="I537" s="294"/>
      <c r="J537" s="294"/>
      <c r="K537" s="294">
        <f t="shared" si="78"/>
        <v>1.8592</v>
      </c>
      <c r="L537" s="294">
        <f t="shared" si="79"/>
        <v>0.75239240916315608</v>
      </c>
      <c r="M537" s="309">
        <f t="shared" si="89"/>
        <v>3.4014048293034844</v>
      </c>
      <c r="N537" s="294">
        <v>1</v>
      </c>
      <c r="O537" s="294">
        <f t="shared" si="86"/>
        <v>3.4014048293034844</v>
      </c>
      <c r="P537" s="294"/>
    </row>
    <row r="538" spans="1:16">
      <c r="A538" s="294"/>
      <c r="B538" s="294" t="s">
        <v>305</v>
      </c>
      <c r="C538" s="294" t="s">
        <v>560</v>
      </c>
      <c r="D538" s="295" t="s">
        <v>1057</v>
      </c>
      <c r="E538" s="296">
        <v>9</v>
      </c>
      <c r="F538" s="294">
        <v>22.4</v>
      </c>
      <c r="G538" s="308">
        <f t="shared" si="88"/>
        <v>6.9244161999999996</v>
      </c>
      <c r="H538" s="308"/>
      <c r="I538" s="294"/>
      <c r="J538" s="294"/>
      <c r="K538" s="294">
        <f t="shared" si="78"/>
        <v>1.9624000000000001</v>
      </c>
      <c r="L538" s="294">
        <f t="shared" si="79"/>
        <v>0.70828368713210621</v>
      </c>
      <c r="M538" s="309">
        <f t="shared" si="89"/>
        <v>2.5793622290040852</v>
      </c>
      <c r="N538" s="294">
        <v>0</v>
      </c>
      <c r="O538" s="294" t="str">
        <f t="shared" si="86"/>
        <v/>
      </c>
      <c r="P538" s="294"/>
    </row>
    <row r="539" spans="1:16">
      <c r="A539" s="294"/>
      <c r="B539" s="294" t="s">
        <v>305</v>
      </c>
      <c r="C539" s="294" t="s">
        <v>560</v>
      </c>
      <c r="D539" s="295" t="s">
        <v>1057</v>
      </c>
      <c r="E539" s="296">
        <v>10</v>
      </c>
      <c r="F539" s="294">
        <v>17.8</v>
      </c>
      <c r="G539" s="308">
        <f t="shared" si="88"/>
        <v>3.9141311999999999</v>
      </c>
      <c r="H539" s="308"/>
      <c r="I539" s="294"/>
      <c r="J539" s="294"/>
      <c r="K539" s="294">
        <f t="shared" si="78"/>
        <v>2.0728</v>
      </c>
      <c r="L539" s="294">
        <f t="shared" si="79"/>
        <v>0.65455327559795284</v>
      </c>
      <c r="M539" s="309">
        <f t="shared" si="89"/>
        <v>1.5586983682211297</v>
      </c>
      <c r="N539" s="294">
        <v>0</v>
      </c>
      <c r="O539" s="294" t="str">
        <f t="shared" si="86"/>
        <v/>
      </c>
      <c r="P539" s="294"/>
    </row>
    <row r="540" spans="1:16">
      <c r="A540" s="294"/>
      <c r="B540" s="294" t="s">
        <v>305</v>
      </c>
      <c r="C540" s="294" t="s">
        <v>560</v>
      </c>
      <c r="D540" s="295" t="s">
        <v>1057</v>
      </c>
      <c r="E540" s="296">
        <v>11</v>
      </c>
      <c r="F540" s="294">
        <v>13.2</v>
      </c>
      <c r="G540" s="308">
        <f t="shared" si="88"/>
        <v>2.5891289999999998</v>
      </c>
      <c r="H540" s="308"/>
      <c r="I540" s="294"/>
      <c r="J540" s="294"/>
      <c r="K540" s="294">
        <f t="shared" si="78"/>
        <v>2.1832000000000003</v>
      </c>
      <c r="L540" s="294">
        <f t="shared" si="79"/>
        <v>0.59496401387711539</v>
      </c>
      <c r="M540" s="309">
        <f t="shared" si="89"/>
        <v>1.1301146823409667</v>
      </c>
      <c r="N540" s="294">
        <v>0</v>
      </c>
      <c r="O540" s="294" t="str">
        <f t="shared" si="86"/>
        <v/>
      </c>
      <c r="P540" s="294"/>
    </row>
    <row r="541" spans="1:16">
      <c r="A541" s="294"/>
      <c r="B541" s="294" t="s">
        <v>305</v>
      </c>
      <c r="C541" s="294" t="s">
        <v>560</v>
      </c>
      <c r="D541" s="295" t="s">
        <v>1057</v>
      </c>
      <c r="E541" s="296">
        <v>12</v>
      </c>
      <c r="F541" s="294">
        <v>8.3000000000000007</v>
      </c>
      <c r="G541" s="308">
        <f t="shared" si="88"/>
        <v>1.3030549999999996</v>
      </c>
      <c r="H541" s="308"/>
      <c r="I541" s="294"/>
      <c r="J541" s="294"/>
      <c r="K541" s="294">
        <f t="shared" si="78"/>
        <v>2.3008000000000002</v>
      </c>
      <c r="L541" s="294">
        <f t="shared" si="79"/>
        <v>0.52686406241145922</v>
      </c>
      <c r="M541" s="309">
        <f t="shared" si="89"/>
        <v>0.80109811521349783</v>
      </c>
      <c r="N541" s="294">
        <v>0</v>
      </c>
      <c r="O541" s="294" t="str">
        <f t="shared" si="86"/>
        <v/>
      </c>
      <c r="P541" s="294"/>
    </row>
    <row r="542" spans="1:16">
      <c r="A542" s="294">
        <v>46</v>
      </c>
      <c r="B542" s="294" t="s">
        <v>305</v>
      </c>
      <c r="C542" s="294" t="s">
        <v>561</v>
      </c>
      <c r="D542" s="295" t="s">
        <v>1057</v>
      </c>
      <c r="E542" s="296">
        <v>1</v>
      </c>
      <c r="F542" s="294">
        <v>2.4</v>
      </c>
      <c r="G542" s="308">
        <f t="shared" si="88"/>
        <v>10.907803810000001</v>
      </c>
      <c r="H542" s="294">
        <v>195.7</v>
      </c>
      <c r="I542" s="306">
        <v>0.85</v>
      </c>
      <c r="J542" s="307">
        <v>0.15</v>
      </c>
      <c r="K542" s="294">
        <f t="shared" si="78"/>
        <v>2.4424000000000001</v>
      </c>
      <c r="L542" s="294">
        <f t="shared" si="79"/>
        <v>0.44226659545689245</v>
      </c>
      <c r="M542" s="309">
        <f>$I$542*L542*(G542/K542)+$J$542</f>
        <v>1.8288952123797728</v>
      </c>
      <c r="N542" s="294">
        <v>0</v>
      </c>
      <c r="O542" s="294" t="str">
        <f t="shared" si="86"/>
        <v/>
      </c>
      <c r="P542" s="294">
        <f>AVERAGE(O542:O553)</f>
        <v>5.3081461870731381</v>
      </c>
    </row>
    <row r="543" spans="1:16">
      <c r="A543" s="294"/>
      <c r="B543" s="294" t="s">
        <v>305</v>
      </c>
      <c r="C543" s="294" t="s">
        <v>561</v>
      </c>
      <c r="D543" s="295" t="s">
        <v>1057</v>
      </c>
      <c r="E543" s="296">
        <v>2</v>
      </c>
      <c r="F543" s="294">
        <v>3.2</v>
      </c>
      <c r="G543" s="308">
        <f t="shared" si="88"/>
        <v>12.886507400000001</v>
      </c>
      <c r="H543" s="294">
        <v>186</v>
      </c>
      <c r="I543" s="297"/>
      <c r="J543" s="297"/>
      <c r="K543" s="294">
        <f t="shared" si="78"/>
        <v>2.4232</v>
      </c>
      <c r="L543" s="294">
        <f t="shared" si="79"/>
        <v>0.45373046962916019</v>
      </c>
      <c r="M543" s="309">
        <f t="shared" ref="M543:M553" si="90">$I$542*L543*(G543/K543)+$J$542</f>
        <v>2.2009866689952959</v>
      </c>
      <c r="N543" s="294">
        <v>0</v>
      </c>
      <c r="O543" s="294" t="str">
        <f t="shared" si="86"/>
        <v/>
      </c>
      <c r="P543" s="294"/>
    </row>
    <row r="544" spans="1:16">
      <c r="A544" s="294"/>
      <c r="B544" s="294" t="s">
        <v>305</v>
      </c>
      <c r="C544" s="294" t="s">
        <v>561</v>
      </c>
      <c r="D544" s="295" t="s">
        <v>1057</v>
      </c>
      <c r="E544" s="296">
        <v>3</v>
      </c>
      <c r="F544" s="294">
        <v>7.6</v>
      </c>
      <c r="G544" s="308">
        <f t="shared" si="88"/>
        <v>14.869590109999997</v>
      </c>
      <c r="H544" s="294">
        <v>193.7</v>
      </c>
      <c r="I544" s="297"/>
      <c r="J544" s="297"/>
      <c r="K544" s="294">
        <f t="shared" si="78"/>
        <v>2.3176000000000001</v>
      </c>
      <c r="L544" s="294">
        <f t="shared" si="79"/>
        <v>0.51689044020520014</v>
      </c>
      <c r="M544" s="309">
        <f t="shared" si="90"/>
        <v>2.9688887776080728</v>
      </c>
      <c r="N544" s="294">
        <v>0</v>
      </c>
      <c r="O544" s="294" t="str">
        <f t="shared" si="86"/>
        <v/>
      </c>
      <c r="P544" s="294"/>
    </row>
    <row r="545" spans="1:16">
      <c r="A545" s="294"/>
      <c r="B545" s="294" t="s">
        <v>305</v>
      </c>
      <c r="C545" s="294" t="s">
        <v>561</v>
      </c>
      <c r="D545" s="295" t="s">
        <v>1057</v>
      </c>
      <c r="E545" s="296">
        <v>4</v>
      </c>
      <c r="F545" s="294">
        <v>12.8</v>
      </c>
      <c r="G545" s="308">
        <f t="shared" si="88"/>
        <v>15.02950543</v>
      </c>
      <c r="H545" s="294">
        <v>155.1</v>
      </c>
      <c r="I545" s="297"/>
      <c r="J545" s="297"/>
      <c r="K545" s="294">
        <f t="shared" si="78"/>
        <v>2.1928000000000001</v>
      </c>
      <c r="L545" s="294">
        <f t="shared" si="79"/>
        <v>0.58955346412535858</v>
      </c>
      <c r="M545" s="309">
        <f t="shared" si="90"/>
        <v>3.5846919198263767</v>
      </c>
      <c r="N545" s="294">
        <v>0</v>
      </c>
      <c r="O545" s="294" t="str">
        <f t="shared" si="86"/>
        <v/>
      </c>
      <c r="P545" s="294"/>
    </row>
    <row r="546" spans="1:16">
      <c r="A546" s="294"/>
      <c r="B546" s="294" t="s">
        <v>305</v>
      </c>
      <c r="C546" s="294" t="s">
        <v>561</v>
      </c>
      <c r="D546" s="295" t="s">
        <v>1057</v>
      </c>
      <c r="E546" s="296">
        <v>5</v>
      </c>
      <c r="F546" s="294">
        <v>19.399999999999999</v>
      </c>
      <c r="G546" s="308">
        <f t="shared" si="88"/>
        <v>20.532954180000001</v>
      </c>
      <c r="H546" s="294">
        <v>236.6</v>
      </c>
      <c r="I546" s="297"/>
      <c r="J546" s="297"/>
      <c r="K546" s="294">
        <f t="shared" si="78"/>
        <v>2.0344000000000002</v>
      </c>
      <c r="L546" s="294">
        <f t="shared" si="79"/>
        <v>0.67396814722434939</v>
      </c>
      <c r="M546" s="309">
        <f t="shared" si="90"/>
        <v>5.9319374375130263</v>
      </c>
      <c r="N546" s="294">
        <v>0</v>
      </c>
      <c r="O546" s="294" t="str">
        <f t="shared" si="86"/>
        <v/>
      </c>
      <c r="P546" s="294"/>
    </row>
    <row r="547" spans="1:16">
      <c r="A547" s="294"/>
      <c r="B547" s="294" t="s">
        <v>305</v>
      </c>
      <c r="C547" s="294" t="s">
        <v>561</v>
      </c>
      <c r="D547" s="295" t="s">
        <v>1057</v>
      </c>
      <c r="E547" s="296">
        <v>6</v>
      </c>
      <c r="F547" s="294">
        <v>20.6</v>
      </c>
      <c r="G547" s="308">
        <f t="shared" si="88"/>
        <v>15.6732584</v>
      </c>
      <c r="H547" s="294">
        <v>128</v>
      </c>
      <c r="I547" s="297"/>
      <c r="J547" s="297"/>
      <c r="K547" s="294">
        <f t="shared" si="78"/>
        <v>2.0055999999999998</v>
      </c>
      <c r="L547" s="294">
        <f t="shared" si="79"/>
        <v>0.68803058654568494</v>
      </c>
      <c r="M547" s="309">
        <f t="shared" si="90"/>
        <v>4.7202677475712873</v>
      </c>
      <c r="N547" s="294">
        <v>0</v>
      </c>
      <c r="O547" s="294" t="str">
        <f t="shared" si="86"/>
        <v/>
      </c>
      <c r="P547" s="294"/>
    </row>
    <row r="548" spans="1:16">
      <c r="A548" s="294"/>
      <c r="B548" s="294" t="s">
        <v>305</v>
      </c>
      <c r="C548" s="294" t="s">
        <v>561</v>
      </c>
      <c r="D548" s="295" t="s">
        <v>1057</v>
      </c>
      <c r="E548" s="296">
        <v>7</v>
      </c>
      <c r="F548" s="294">
        <v>25.1</v>
      </c>
      <c r="G548" s="308">
        <f t="shared" si="88"/>
        <v>17.006814730000002</v>
      </c>
      <c r="H548" s="294">
        <v>166.1</v>
      </c>
      <c r="I548" s="297"/>
      <c r="J548" s="297"/>
      <c r="K548" s="294">
        <f t="shared" si="78"/>
        <v>1.8976</v>
      </c>
      <c r="L548" s="294">
        <f t="shared" si="79"/>
        <v>0.73669623234985304</v>
      </c>
      <c r="M548" s="309">
        <f t="shared" si="90"/>
        <v>5.7621036496013591</v>
      </c>
      <c r="N548" s="294">
        <v>1</v>
      </c>
      <c r="O548" s="294">
        <f t="shared" si="86"/>
        <v>5.7621036496013591</v>
      </c>
      <c r="P548" s="294"/>
    </row>
    <row r="549" spans="1:16">
      <c r="A549" s="294"/>
      <c r="B549" s="294" t="s">
        <v>305</v>
      </c>
      <c r="C549" s="294" t="s">
        <v>561</v>
      </c>
      <c r="D549" s="295" t="s">
        <v>1057</v>
      </c>
      <c r="E549" s="296">
        <v>8</v>
      </c>
      <c r="F549" s="294">
        <v>25</v>
      </c>
      <c r="G549" s="308">
        <f t="shared" si="88"/>
        <v>14.293099329999999</v>
      </c>
      <c r="H549" s="294">
        <v>123.1</v>
      </c>
      <c r="I549" s="297"/>
      <c r="J549" s="297"/>
      <c r="K549" s="294">
        <f t="shared" si="78"/>
        <v>1.9</v>
      </c>
      <c r="L549" s="294">
        <f t="shared" si="79"/>
        <v>0.73568686129580518</v>
      </c>
      <c r="M549" s="309">
        <f t="shared" si="90"/>
        <v>4.854188724544918</v>
      </c>
      <c r="N549" s="294">
        <v>1</v>
      </c>
      <c r="O549" s="294">
        <f t="shared" si="86"/>
        <v>4.854188724544918</v>
      </c>
      <c r="P549" s="294"/>
    </row>
    <row r="550" spans="1:16">
      <c r="A550" s="294"/>
      <c r="B550" s="294" t="s">
        <v>305</v>
      </c>
      <c r="C550" s="294" t="s">
        <v>561</v>
      </c>
      <c r="D550" s="295" t="s">
        <v>1057</v>
      </c>
      <c r="E550" s="296">
        <v>9</v>
      </c>
      <c r="F550" s="294">
        <v>20.6</v>
      </c>
      <c r="G550" s="308">
        <f t="shared" si="88"/>
        <v>11.685734979999999</v>
      </c>
      <c r="H550" s="294">
        <v>104.6</v>
      </c>
      <c r="I550" s="297"/>
      <c r="J550" s="297"/>
      <c r="K550" s="294">
        <f t="shared" si="78"/>
        <v>2.0055999999999998</v>
      </c>
      <c r="L550" s="294">
        <f t="shared" si="79"/>
        <v>0.68803058654568494</v>
      </c>
      <c r="M550" s="309">
        <f t="shared" si="90"/>
        <v>3.5575197589902294</v>
      </c>
      <c r="N550" s="294">
        <v>0</v>
      </c>
      <c r="O550" s="294" t="str">
        <f t="shared" si="86"/>
        <v/>
      </c>
      <c r="P550" s="294"/>
    </row>
    <row r="551" spans="1:16">
      <c r="A551" s="294"/>
      <c r="B551" s="294" t="s">
        <v>305</v>
      </c>
      <c r="C551" s="294" t="s">
        <v>561</v>
      </c>
      <c r="D551" s="295" t="s">
        <v>1057</v>
      </c>
      <c r="E551" s="296">
        <v>10</v>
      </c>
      <c r="F551" s="294">
        <v>15.5</v>
      </c>
      <c r="G551" s="308">
        <f t="shared" si="88"/>
        <v>12.37616907</v>
      </c>
      <c r="H551" s="294">
        <v>185.9</v>
      </c>
      <c r="I551" s="297"/>
      <c r="J551" s="297"/>
      <c r="K551" s="294">
        <f t="shared" si="78"/>
        <v>2.1280000000000001</v>
      </c>
      <c r="L551" s="294">
        <f t="shared" si="79"/>
        <v>0.62540609843700268</v>
      </c>
      <c r="M551" s="309">
        <f t="shared" si="90"/>
        <v>3.2416879087949231</v>
      </c>
      <c r="N551" s="294">
        <v>0</v>
      </c>
      <c r="O551" s="294" t="str">
        <f t="shared" si="86"/>
        <v/>
      </c>
      <c r="P551" s="294"/>
    </row>
    <row r="552" spans="1:16">
      <c r="A552" s="294"/>
      <c r="B552" s="294" t="s">
        <v>305</v>
      </c>
      <c r="C552" s="294" t="s">
        <v>561</v>
      </c>
      <c r="D552" s="295" t="s">
        <v>1057</v>
      </c>
      <c r="E552" s="296">
        <v>11</v>
      </c>
      <c r="F552" s="294">
        <v>11.3</v>
      </c>
      <c r="G552" s="308">
        <f t="shared" si="88"/>
        <v>7.4232786599999994</v>
      </c>
      <c r="H552" s="294">
        <v>106.2</v>
      </c>
      <c r="I552" s="297"/>
      <c r="J552" s="297"/>
      <c r="K552" s="294">
        <f t="shared" si="78"/>
        <v>2.2288000000000001</v>
      </c>
      <c r="L552" s="294">
        <f t="shared" si="79"/>
        <v>0.56899694033307113</v>
      </c>
      <c r="M552" s="309">
        <f t="shared" si="90"/>
        <v>1.7608441394754184</v>
      </c>
      <c r="N552" s="294">
        <v>0</v>
      </c>
      <c r="O552" s="294" t="str">
        <f t="shared" si="86"/>
        <v/>
      </c>
      <c r="P552" s="294"/>
    </row>
    <row r="553" spans="1:16">
      <c r="A553" s="294"/>
      <c r="B553" s="294" t="s">
        <v>305</v>
      </c>
      <c r="C553" s="294" t="s">
        <v>561</v>
      </c>
      <c r="D553" s="295" t="s">
        <v>1057</v>
      </c>
      <c r="E553" s="296">
        <v>12</v>
      </c>
      <c r="F553" s="294">
        <v>5.8</v>
      </c>
      <c r="G553" s="308">
        <f t="shared" si="88"/>
        <v>9.2279651300000012</v>
      </c>
      <c r="H553" s="294">
        <v>174.1</v>
      </c>
      <c r="I553" s="297"/>
      <c r="J553" s="297"/>
      <c r="K553" s="294">
        <f t="shared" si="78"/>
        <v>2.3608000000000002</v>
      </c>
      <c r="L553" s="294">
        <f t="shared" si="79"/>
        <v>0.49109939417523152</v>
      </c>
      <c r="M553" s="309">
        <f t="shared" si="90"/>
        <v>1.7816803084086696</v>
      </c>
      <c r="N553" s="294">
        <v>0</v>
      </c>
      <c r="O553" s="294" t="str">
        <f t="shared" si="86"/>
        <v/>
      </c>
      <c r="P553" s="294"/>
    </row>
    <row r="554" spans="1:16">
      <c r="A554" s="294">
        <v>47</v>
      </c>
      <c r="B554" s="294" t="s">
        <v>308</v>
      </c>
      <c r="C554" s="294" t="s">
        <v>562</v>
      </c>
      <c r="D554" s="295" t="s">
        <v>1057</v>
      </c>
      <c r="E554" s="296">
        <v>1</v>
      </c>
      <c r="F554" s="294">
        <v>6.7</v>
      </c>
      <c r="G554" s="294">
        <v>9.3000000000000007</v>
      </c>
      <c r="H554" s="294"/>
      <c r="I554" s="294">
        <v>0.63500000000000001</v>
      </c>
      <c r="J554" s="294">
        <v>1.41</v>
      </c>
      <c r="K554" s="294">
        <f t="shared" si="78"/>
        <v>2.3391999999999999</v>
      </c>
      <c r="L554" s="294">
        <f t="shared" si="79"/>
        <v>0.50401539269658691</v>
      </c>
      <c r="M554" s="297">
        <f>$I$554*L554*(G554/K554)+$J$554</f>
        <v>2.682427710999356</v>
      </c>
      <c r="N554" s="294">
        <v>0</v>
      </c>
      <c r="O554" s="294" t="str">
        <f t="shared" si="86"/>
        <v/>
      </c>
      <c r="P554" s="294">
        <f>AVERAGE(O554:O565)</f>
        <v>5.7741048617362001</v>
      </c>
    </row>
    <row r="555" spans="1:16">
      <c r="A555" s="294"/>
      <c r="B555" s="294" t="s">
        <v>308</v>
      </c>
      <c r="C555" s="294" t="s">
        <v>562</v>
      </c>
      <c r="D555" s="295" t="s">
        <v>1057</v>
      </c>
      <c r="E555" s="296">
        <v>2</v>
      </c>
      <c r="F555" s="294">
        <v>6.2</v>
      </c>
      <c r="G555" s="294">
        <v>11.1</v>
      </c>
      <c r="H555" s="294"/>
      <c r="I555" s="294"/>
      <c r="J555" s="294"/>
      <c r="K555" s="294">
        <f t="shared" si="78"/>
        <v>2.3512</v>
      </c>
      <c r="L555" s="294">
        <f t="shared" si="79"/>
        <v>0.49684368447763227</v>
      </c>
      <c r="M555" s="297">
        <f t="shared" ref="M555:M565" si="91">$I$554*L555*(G555/K555)+$J$554</f>
        <v>2.8994533472442123</v>
      </c>
      <c r="N555" s="294">
        <v>0</v>
      </c>
      <c r="O555" s="294" t="str">
        <f t="shared" si="86"/>
        <v/>
      </c>
      <c r="P555" s="294"/>
    </row>
    <row r="556" spans="1:16">
      <c r="A556" s="294"/>
      <c r="B556" s="294" t="s">
        <v>308</v>
      </c>
      <c r="C556" s="294" t="s">
        <v>562</v>
      </c>
      <c r="D556" s="295" t="s">
        <v>1058</v>
      </c>
      <c r="E556" s="296">
        <v>3</v>
      </c>
      <c r="F556" s="294">
        <v>9.9</v>
      </c>
      <c r="G556" s="294">
        <v>15.3</v>
      </c>
      <c r="H556" s="294"/>
      <c r="I556" s="294"/>
      <c r="J556" s="294"/>
      <c r="K556" s="294">
        <f t="shared" si="78"/>
        <v>2.2624</v>
      </c>
      <c r="L556" s="294">
        <f t="shared" si="79"/>
        <v>0.54947914156562316</v>
      </c>
      <c r="M556" s="297">
        <f t="shared" si="91"/>
        <v>3.7696466583631594</v>
      </c>
      <c r="N556" s="294">
        <v>0</v>
      </c>
      <c r="O556" s="294" t="str">
        <f t="shared" si="86"/>
        <v/>
      </c>
      <c r="P556" s="294"/>
    </row>
    <row r="557" spans="1:16">
      <c r="A557" s="294"/>
      <c r="B557" s="294" t="s">
        <v>308</v>
      </c>
      <c r="C557" s="294" t="s">
        <v>562</v>
      </c>
      <c r="D557" s="295" t="s">
        <v>1058</v>
      </c>
      <c r="E557" s="296">
        <v>4</v>
      </c>
      <c r="F557" s="294">
        <v>13.5</v>
      </c>
      <c r="G557" s="294">
        <v>15.1</v>
      </c>
      <c r="H557" s="294"/>
      <c r="I557" s="294"/>
      <c r="J557" s="294"/>
      <c r="K557" s="294">
        <f t="shared" si="78"/>
        <v>2.1760000000000002</v>
      </c>
      <c r="L557" s="294">
        <f t="shared" si="79"/>
        <v>0.59900066448276601</v>
      </c>
      <c r="M557" s="297">
        <f t="shared" si="91"/>
        <v>4.0494843158975193</v>
      </c>
      <c r="N557" s="294">
        <v>0</v>
      </c>
      <c r="O557" s="294" t="str">
        <f t="shared" si="86"/>
        <v/>
      </c>
      <c r="P557" s="294"/>
    </row>
    <row r="558" spans="1:16">
      <c r="A558" s="294"/>
      <c r="B558" s="294" t="s">
        <v>308</v>
      </c>
      <c r="C558" s="294" t="s">
        <v>562</v>
      </c>
      <c r="D558" s="295" t="s">
        <v>1058</v>
      </c>
      <c r="E558" s="296">
        <v>5</v>
      </c>
      <c r="F558" s="294">
        <v>18.600000000000001</v>
      </c>
      <c r="G558" s="294">
        <v>21.4</v>
      </c>
      <c r="H558" s="294"/>
      <c r="I558" s="294"/>
      <c r="J558" s="294"/>
      <c r="K558" s="294">
        <f t="shared" si="78"/>
        <v>2.0535999999999999</v>
      </c>
      <c r="L558" s="294">
        <f t="shared" si="79"/>
        <v>0.66435336670543088</v>
      </c>
      <c r="M558" s="297">
        <f t="shared" si="91"/>
        <v>5.8061325964940105</v>
      </c>
      <c r="N558" s="294">
        <v>0</v>
      </c>
      <c r="O558" s="294" t="str">
        <f t="shared" si="86"/>
        <v/>
      </c>
      <c r="P558" s="294"/>
    </row>
    <row r="559" spans="1:16">
      <c r="A559" s="294"/>
      <c r="B559" s="294" t="s">
        <v>308</v>
      </c>
      <c r="C559" s="294" t="s">
        <v>562</v>
      </c>
      <c r="D559" s="295" t="s">
        <v>1058</v>
      </c>
      <c r="E559" s="296">
        <v>6</v>
      </c>
      <c r="F559" s="294">
        <v>20.9</v>
      </c>
      <c r="G559" s="294">
        <v>19.3</v>
      </c>
      <c r="H559" s="294"/>
      <c r="I559" s="294"/>
      <c r="J559" s="294"/>
      <c r="K559" s="294">
        <f t="shared" si="78"/>
        <v>1.9984000000000002</v>
      </c>
      <c r="L559" s="294">
        <f t="shared" si="79"/>
        <v>0.69147707180847306</v>
      </c>
      <c r="M559" s="297">
        <f t="shared" si="91"/>
        <v>5.6505910996540942</v>
      </c>
      <c r="N559" s="294">
        <v>0</v>
      </c>
      <c r="O559" s="294" t="str">
        <f t="shared" si="86"/>
        <v/>
      </c>
      <c r="P559" s="294"/>
    </row>
    <row r="560" spans="1:16">
      <c r="A560" s="294"/>
      <c r="B560" s="294" t="s">
        <v>308</v>
      </c>
      <c r="C560" s="294" t="s">
        <v>562</v>
      </c>
      <c r="D560" s="295" t="s">
        <v>1058</v>
      </c>
      <c r="E560" s="296">
        <v>7</v>
      </c>
      <c r="F560" s="294">
        <v>23.8</v>
      </c>
      <c r="G560" s="294">
        <v>18.8</v>
      </c>
      <c r="H560" s="294"/>
      <c r="I560" s="294"/>
      <c r="J560" s="294"/>
      <c r="K560" s="294">
        <f t="shared" si="78"/>
        <v>1.9287999999999998</v>
      </c>
      <c r="L560" s="294">
        <f t="shared" si="79"/>
        <v>0.72331553572267304</v>
      </c>
      <c r="M560" s="297">
        <f t="shared" si="91"/>
        <v>5.8868461558778886</v>
      </c>
      <c r="N560" s="294">
        <v>1</v>
      </c>
      <c r="O560" s="294">
        <f t="shared" si="86"/>
        <v>5.8868461558778886</v>
      </c>
      <c r="P560" s="294"/>
    </row>
    <row r="561" spans="1:16">
      <c r="A561" s="294"/>
      <c r="B561" s="294" t="s">
        <v>308</v>
      </c>
      <c r="C561" s="294" t="s">
        <v>562</v>
      </c>
      <c r="D561" s="295" t="s">
        <v>1058</v>
      </c>
      <c r="E561" s="296">
        <v>8</v>
      </c>
      <c r="F561" s="294">
        <v>25.2</v>
      </c>
      <c r="G561" s="294">
        <v>17.2</v>
      </c>
      <c r="H561" s="294"/>
      <c r="I561" s="294"/>
      <c r="J561" s="294"/>
      <c r="K561" s="294">
        <f t="shared" si="78"/>
        <v>1.8952</v>
      </c>
      <c r="L561" s="294">
        <f t="shared" si="79"/>
        <v>0.73770227369576269</v>
      </c>
      <c r="M561" s="297">
        <f t="shared" si="91"/>
        <v>5.6613635675945124</v>
      </c>
      <c r="N561" s="294">
        <v>1</v>
      </c>
      <c r="O561" s="294">
        <f t="shared" si="86"/>
        <v>5.6613635675945124</v>
      </c>
      <c r="P561" s="294"/>
    </row>
    <row r="562" spans="1:16">
      <c r="A562" s="294"/>
      <c r="B562" s="294" t="s">
        <v>308</v>
      </c>
      <c r="C562" s="294" t="s">
        <v>562</v>
      </c>
      <c r="D562" s="295" t="s">
        <v>1058</v>
      </c>
      <c r="E562" s="296">
        <v>9</v>
      </c>
      <c r="F562" s="294">
        <v>22.8</v>
      </c>
      <c r="G562" s="294">
        <v>13.8</v>
      </c>
      <c r="H562" s="294"/>
      <c r="I562" s="294"/>
      <c r="J562" s="294"/>
      <c r="K562" s="294">
        <f t="shared" si="78"/>
        <v>1.9527999999999999</v>
      </c>
      <c r="L562" s="294">
        <f t="shared" si="79"/>
        <v>0.71264368087977559</v>
      </c>
      <c r="M562" s="297">
        <f t="shared" si="91"/>
        <v>4.6079191804329547</v>
      </c>
      <c r="N562" s="294">
        <v>0</v>
      </c>
      <c r="O562" s="294" t="str">
        <f t="shared" si="86"/>
        <v/>
      </c>
      <c r="P562" s="294"/>
    </row>
    <row r="563" spans="1:16">
      <c r="A563" s="294"/>
      <c r="B563" s="294" t="s">
        <v>308</v>
      </c>
      <c r="C563" s="294" t="s">
        <v>562</v>
      </c>
      <c r="D563" s="295" t="s">
        <v>1058</v>
      </c>
      <c r="E563" s="296">
        <v>10</v>
      </c>
      <c r="F563" s="294">
        <v>19.3</v>
      </c>
      <c r="G563" s="294">
        <v>12.2</v>
      </c>
      <c r="H563" s="294"/>
      <c r="I563" s="294"/>
      <c r="J563" s="294"/>
      <c r="K563" s="294">
        <f t="shared" si="78"/>
        <v>2.0367999999999999</v>
      </c>
      <c r="L563" s="294">
        <f t="shared" si="79"/>
        <v>0.67277663480485017</v>
      </c>
      <c r="M563" s="297">
        <f t="shared" si="91"/>
        <v>3.9689162361710402</v>
      </c>
      <c r="N563" s="294">
        <v>0</v>
      </c>
      <c r="O563" s="294" t="str">
        <f t="shared" si="86"/>
        <v/>
      </c>
      <c r="P563" s="294"/>
    </row>
    <row r="564" spans="1:16">
      <c r="A564" s="294"/>
      <c r="B564" s="294" t="s">
        <v>308</v>
      </c>
      <c r="C564" s="294" t="s">
        <v>562</v>
      </c>
      <c r="D564" s="295" t="s">
        <v>1058</v>
      </c>
      <c r="E564" s="296">
        <v>11</v>
      </c>
      <c r="F564" s="294">
        <v>15.8</v>
      </c>
      <c r="G564" s="294">
        <v>7.8</v>
      </c>
      <c r="H564" s="294"/>
      <c r="I564" s="294"/>
      <c r="J564" s="294"/>
      <c r="K564" s="294">
        <f t="shared" si="78"/>
        <v>2.1208</v>
      </c>
      <c r="L564" s="294">
        <f t="shared" si="79"/>
        <v>0.62928564442883417</v>
      </c>
      <c r="M564" s="297">
        <f t="shared" si="91"/>
        <v>2.8796585236024215</v>
      </c>
      <c r="N564" s="294">
        <v>0</v>
      </c>
      <c r="O564" s="294" t="str">
        <f t="shared" si="86"/>
        <v/>
      </c>
      <c r="P564" s="294"/>
    </row>
    <row r="565" spans="1:16">
      <c r="A565" s="294"/>
      <c r="B565" s="294" t="s">
        <v>308</v>
      </c>
      <c r="C565" s="294" t="s">
        <v>562</v>
      </c>
      <c r="D565" s="295" t="s">
        <v>1058</v>
      </c>
      <c r="E565" s="296">
        <v>12</v>
      </c>
      <c r="F565" s="294">
        <v>10.7</v>
      </c>
      <c r="G565" s="294">
        <v>7.7</v>
      </c>
      <c r="H565" s="294"/>
      <c r="I565" s="294"/>
      <c r="J565" s="294"/>
      <c r="K565" s="294">
        <f t="shared" si="78"/>
        <v>2.2431999999999999</v>
      </c>
      <c r="L565" s="294">
        <f t="shared" si="79"/>
        <v>0.56066760907995394</v>
      </c>
      <c r="M565" s="297">
        <f t="shared" si="91"/>
        <v>2.6320864276909925</v>
      </c>
      <c r="N565" s="294">
        <v>0</v>
      </c>
      <c r="O565" s="294" t="str">
        <f t="shared" si="86"/>
        <v/>
      </c>
      <c r="P565" s="294"/>
    </row>
    <row r="566" spans="1:16">
      <c r="A566" s="294">
        <v>48</v>
      </c>
      <c r="B566" s="294" t="s">
        <v>308</v>
      </c>
      <c r="C566" s="294" t="s">
        <v>310</v>
      </c>
      <c r="D566" s="295" t="s">
        <v>1058</v>
      </c>
      <c r="E566" s="296">
        <v>1</v>
      </c>
      <c r="F566" s="294">
        <v>6.8</v>
      </c>
      <c r="G566" s="308">
        <f t="shared" ref="G566:G589" si="92">$T$11+$T$12*H566+INDEX($T$13:$T$24,MATCH(E566,$S$13:$S$24,0),1)</f>
        <v>9.4602900699999992</v>
      </c>
      <c r="H566" s="294">
        <v>163.9</v>
      </c>
      <c r="I566" s="306">
        <v>0.68700000000000006</v>
      </c>
      <c r="J566" s="307">
        <v>0.85</v>
      </c>
      <c r="K566" s="294">
        <f t="shared" si="78"/>
        <v>2.3368000000000002</v>
      </c>
      <c r="L566" s="294">
        <f t="shared" si="79"/>
        <v>0.50544832057472966</v>
      </c>
      <c r="M566" s="309">
        <f>$I$566*L566*(G566/K566)+$J$566</f>
        <v>2.2557769039530542</v>
      </c>
      <c r="N566" s="294">
        <v>0</v>
      </c>
      <c r="O566" s="294" t="str">
        <f t="shared" si="86"/>
        <v/>
      </c>
      <c r="P566" s="294">
        <f>AVERAGE(O566:O577)</f>
        <v>5.373660724266232</v>
      </c>
    </row>
    <row r="567" spans="1:16">
      <c r="A567" s="294"/>
      <c r="B567" s="294" t="s">
        <v>308</v>
      </c>
      <c r="C567" s="294" t="s">
        <v>310</v>
      </c>
      <c r="D567" s="295" t="s">
        <v>1058</v>
      </c>
      <c r="E567" s="296">
        <v>2</v>
      </c>
      <c r="F567" s="294">
        <v>6.8</v>
      </c>
      <c r="G567" s="308">
        <f t="shared" si="92"/>
        <v>11.530032259999999</v>
      </c>
      <c r="H567" s="294">
        <v>156.19999999999999</v>
      </c>
      <c r="I567" s="297"/>
      <c r="J567" s="297"/>
      <c r="K567" s="294">
        <f t="shared" si="78"/>
        <v>2.3368000000000002</v>
      </c>
      <c r="L567" s="294">
        <f t="shared" si="79"/>
        <v>0.50544832057472966</v>
      </c>
      <c r="M567" s="309">
        <f t="shared" ref="M567:M577" si="93">$I$566*L567*(G567/K567)+$J$566</f>
        <v>2.5633357363260676</v>
      </c>
      <c r="N567" s="294">
        <v>0</v>
      </c>
      <c r="O567" s="294" t="str">
        <f t="shared" si="86"/>
        <v/>
      </c>
      <c r="P567" s="294"/>
    </row>
    <row r="568" spans="1:16">
      <c r="A568" s="294"/>
      <c r="B568" s="294" t="s">
        <v>308</v>
      </c>
      <c r="C568" s="294" t="s">
        <v>310</v>
      </c>
      <c r="D568" s="295" t="s">
        <v>1058</v>
      </c>
      <c r="E568" s="296">
        <v>3</v>
      </c>
      <c r="F568" s="294">
        <v>10.8</v>
      </c>
      <c r="G568" s="308">
        <f t="shared" si="92"/>
        <v>14.71937642</v>
      </c>
      <c r="H568" s="294">
        <v>190.4</v>
      </c>
      <c r="I568" s="297"/>
      <c r="J568" s="297"/>
      <c r="K568" s="294">
        <f t="shared" si="78"/>
        <v>2.2408000000000001</v>
      </c>
      <c r="L568" s="294">
        <f t="shared" si="79"/>
        <v>0.56205969531029709</v>
      </c>
      <c r="M568" s="309">
        <f t="shared" si="93"/>
        <v>3.3864452745058746</v>
      </c>
      <c r="N568" s="294">
        <v>0</v>
      </c>
      <c r="O568" s="294" t="str">
        <f t="shared" si="86"/>
        <v/>
      </c>
      <c r="P568" s="294"/>
    </row>
    <row r="569" spans="1:16">
      <c r="A569" s="294"/>
      <c r="B569" s="294" t="s">
        <v>308</v>
      </c>
      <c r="C569" s="294" t="s">
        <v>310</v>
      </c>
      <c r="D569" s="295" t="s">
        <v>1058</v>
      </c>
      <c r="E569" s="296">
        <v>4</v>
      </c>
      <c r="F569" s="294">
        <v>14.1</v>
      </c>
      <c r="G569" s="308">
        <f t="shared" si="92"/>
        <v>14.22836575</v>
      </c>
      <c r="H569" s="294">
        <v>137.5</v>
      </c>
      <c r="I569" s="297"/>
      <c r="J569" s="297"/>
      <c r="K569" s="294">
        <f t="shared" si="78"/>
        <v>2.1616</v>
      </c>
      <c r="L569" s="294">
        <f t="shared" si="79"/>
        <v>0.60701698364649326</v>
      </c>
      <c r="M569" s="309">
        <f t="shared" si="93"/>
        <v>3.594967887801471</v>
      </c>
      <c r="N569" s="294">
        <v>0</v>
      </c>
      <c r="O569" s="294" t="str">
        <f t="shared" si="86"/>
        <v/>
      </c>
      <c r="P569" s="294"/>
    </row>
    <row r="570" spans="1:16">
      <c r="A570" s="294"/>
      <c r="B570" s="294" t="s">
        <v>308</v>
      </c>
      <c r="C570" s="294" t="s">
        <v>310</v>
      </c>
      <c r="D570" s="295" t="s">
        <v>1058</v>
      </c>
      <c r="E570" s="296">
        <v>5</v>
      </c>
      <c r="F570" s="294">
        <v>19.3</v>
      </c>
      <c r="G570" s="308">
        <f t="shared" si="92"/>
        <v>19.88202819</v>
      </c>
      <c r="H570" s="294">
        <v>222.3</v>
      </c>
      <c r="I570" s="297"/>
      <c r="J570" s="297"/>
      <c r="K570" s="294">
        <f t="shared" si="78"/>
        <v>2.0367999999999999</v>
      </c>
      <c r="L570" s="294">
        <f t="shared" si="79"/>
        <v>0.67277663480485017</v>
      </c>
      <c r="M570" s="309">
        <f t="shared" si="93"/>
        <v>5.36169711355579</v>
      </c>
      <c r="N570" s="294">
        <v>0</v>
      </c>
      <c r="O570" s="294" t="str">
        <f t="shared" si="86"/>
        <v/>
      </c>
      <c r="P570" s="294"/>
    </row>
    <row r="571" spans="1:16">
      <c r="A571" s="294"/>
      <c r="B571" s="294" t="s">
        <v>308</v>
      </c>
      <c r="C571" s="294" t="s">
        <v>310</v>
      </c>
      <c r="D571" s="295" t="s">
        <v>1058</v>
      </c>
      <c r="E571" s="296">
        <v>6</v>
      </c>
      <c r="F571" s="294">
        <v>21</v>
      </c>
      <c r="G571" s="308">
        <f t="shared" si="92"/>
        <v>17.06159705</v>
      </c>
      <c r="H571" s="294">
        <v>158.5</v>
      </c>
      <c r="I571" s="297"/>
      <c r="J571" s="297"/>
      <c r="K571" s="294">
        <f t="shared" si="78"/>
        <v>1.996</v>
      </c>
      <c r="L571" s="294">
        <f t="shared" si="79"/>
        <v>0.69261966250512974</v>
      </c>
      <c r="M571" s="309">
        <f t="shared" si="93"/>
        <v>4.9173420564735766</v>
      </c>
      <c r="N571" s="294">
        <v>0</v>
      </c>
      <c r="O571" s="294" t="str">
        <f t="shared" si="86"/>
        <v/>
      </c>
      <c r="P571" s="294"/>
    </row>
    <row r="572" spans="1:16">
      <c r="A572" s="294"/>
      <c r="B572" s="294" t="s">
        <v>308</v>
      </c>
      <c r="C572" s="294" t="s">
        <v>310</v>
      </c>
      <c r="D572" s="295" t="s">
        <v>1058</v>
      </c>
      <c r="E572" s="296">
        <v>7</v>
      </c>
      <c r="F572" s="294">
        <v>23.3</v>
      </c>
      <c r="G572" s="308">
        <f t="shared" si="92"/>
        <v>17.917200729999998</v>
      </c>
      <c r="H572" s="294">
        <v>186.1</v>
      </c>
      <c r="I572" s="297"/>
      <c r="J572" s="297"/>
      <c r="K572" s="294">
        <f t="shared" si="78"/>
        <v>1.9407999999999999</v>
      </c>
      <c r="L572" s="294">
        <f t="shared" si="79"/>
        <v>0.71802052338175526</v>
      </c>
      <c r="M572" s="309">
        <f t="shared" si="93"/>
        <v>5.4038945589393128</v>
      </c>
      <c r="N572" s="294">
        <v>1</v>
      </c>
      <c r="O572" s="294">
        <f t="shared" si="86"/>
        <v>5.4038945589393128</v>
      </c>
      <c r="P572" s="294"/>
    </row>
    <row r="573" spans="1:16">
      <c r="A573" s="294"/>
      <c r="B573" s="294" t="s">
        <v>308</v>
      </c>
      <c r="C573" s="294" t="s">
        <v>310</v>
      </c>
      <c r="D573" s="295" t="s">
        <v>1058</v>
      </c>
      <c r="E573" s="296">
        <v>8</v>
      </c>
      <c r="F573" s="294">
        <v>25.6</v>
      </c>
      <c r="G573" s="308">
        <f t="shared" si="92"/>
        <v>16.62823942</v>
      </c>
      <c r="H573" s="294">
        <v>174.4</v>
      </c>
      <c r="I573" s="297"/>
      <c r="J573" s="297"/>
      <c r="K573" s="294">
        <f t="shared" si="78"/>
        <v>1.8855999999999999</v>
      </c>
      <c r="L573" s="294">
        <f t="shared" si="79"/>
        <v>0.74169310776479802</v>
      </c>
      <c r="M573" s="309">
        <f t="shared" si="93"/>
        <v>5.3434268895931512</v>
      </c>
      <c r="N573" s="294">
        <v>1</v>
      </c>
      <c r="O573" s="294">
        <f t="shared" si="86"/>
        <v>5.3434268895931512</v>
      </c>
      <c r="P573" s="294"/>
    </row>
    <row r="574" spans="1:16">
      <c r="A574" s="294"/>
      <c r="B574" s="294" t="s">
        <v>308</v>
      </c>
      <c r="C574" s="294" t="s">
        <v>310</v>
      </c>
      <c r="D574" s="295" t="s">
        <v>1058</v>
      </c>
      <c r="E574" s="296">
        <v>9</v>
      </c>
      <c r="F574" s="294">
        <v>23.1</v>
      </c>
      <c r="G574" s="308">
        <f t="shared" si="92"/>
        <v>13.41546838</v>
      </c>
      <c r="H574" s="294">
        <v>142.6</v>
      </c>
      <c r="I574" s="297"/>
      <c r="J574" s="297"/>
      <c r="K574" s="294">
        <f t="shared" si="78"/>
        <v>1.9456</v>
      </c>
      <c r="L574" s="294">
        <f t="shared" si="79"/>
        <v>0.71587957464624719</v>
      </c>
      <c r="M574" s="309">
        <f t="shared" si="93"/>
        <v>4.2411655432360176</v>
      </c>
      <c r="N574" s="294">
        <v>0</v>
      </c>
      <c r="O574" s="294" t="str">
        <f t="shared" si="86"/>
        <v/>
      </c>
      <c r="P574" s="294"/>
    </row>
    <row r="575" spans="1:16">
      <c r="A575" s="294"/>
      <c r="B575" s="294" t="s">
        <v>308</v>
      </c>
      <c r="C575" s="294" t="s">
        <v>310</v>
      </c>
      <c r="D575" s="295" t="s">
        <v>1058</v>
      </c>
      <c r="E575" s="296">
        <v>10</v>
      </c>
      <c r="F575" s="294">
        <v>19</v>
      </c>
      <c r="G575" s="308">
        <f t="shared" si="92"/>
        <v>12.845017859999999</v>
      </c>
      <c r="H575" s="294">
        <v>196.2</v>
      </c>
      <c r="I575" s="297"/>
      <c r="J575" s="297"/>
      <c r="K575" s="294">
        <f t="shared" si="78"/>
        <v>2.044</v>
      </c>
      <c r="L575" s="294">
        <f t="shared" si="79"/>
        <v>0.66918429216402076</v>
      </c>
      <c r="M575" s="309">
        <f t="shared" si="93"/>
        <v>3.7390582361725024</v>
      </c>
      <c r="N575" s="294">
        <v>0</v>
      </c>
      <c r="O575" s="294" t="str">
        <f t="shared" si="86"/>
        <v/>
      </c>
      <c r="P575" s="294"/>
    </row>
    <row r="576" spans="1:16">
      <c r="A576" s="294"/>
      <c r="B576" s="294" t="s">
        <v>308</v>
      </c>
      <c r="C576" s="294" t="s">
        <v>310</v>
      </c>
      <c r="D576" s="295" t="s">
        <v>1058</v>
      </c>
      <c r="E576" s="296">
        <v>11</v>
      </c>
      <c r="F576" s="294">
        <v>15.2</v>
      </c>
      <c r="G576" s="308">
        <f t="shared" si="92"/>
        <v>8.5020860700000007</v>
      </c>
      <c r="H576" s="294">
        <v>129.9</v>
      </c>
      <c r="I576" s="297"/>
      <c r="J576" s="297"/>
      <c r="K576" s="294">
        <f t="shared" si="78"/>
        <v>2.1352000000000002</v>
      </c>
      <c r="L576" s="294">
        <f t="shared" si="79"/>
        <v>0.62150446245737101</v>
      </c>
      <c r="M576" s="309">
        <f t="shared" si="93"/>
        <v>2.5501526813722535</v>
      </c>
      <c r="N576" s="294">
        <v>0</v>
      </c>
      <c r="O576" s="294" t="str">
        <f t="shared" si="86"/>
        <v/>
      </c>
      <c r="P576" s="294"/>
    </row>
    <row r="577" spans="1:16">
      <c r="A577" s="294"/>
      <c r="B577" s="294" t="s">
        <v>308</v>
      </c>
      <c r="C577" s="294" t="s">
        <v>310</v>
      </c>
      <c r="D577" s="295" t="s">
        <v>1058</v>
      </c>
      <c r="E577" s="296">
        <v>12</v>
      </c>
      <c r="F577" s="294">
        <v>10.8</v>
      </c>
      <c r="G577" s="308">
        <f t="shared" si="92"/>
        <v>7.9625285900000007</v>
      </c>
      <c r="H577" s="294">
        <v>146.30000000000001</v>
      </c>
      <c r="I577" s="297"/>
      <c r="J577" s="297"/>
      <c r="K577" s="294">
        <f t="shared" si="78"/>
        <v>2.2408000000000001</v>
      </c>
      <c r="L577" s="294">
        <f t="shared" si="79"/>
        <v>0.56205969531029709</v>
      </c>
      <c r="M577" s="309">
        <f t="shared" si="93"/>
        <v>2.2221041869532829</v>
      </c>
      <c r="N577" s="294">
        <v>0</v>
      </c>
      <c r="O577" s="294" t="str">
        <f t="shared" si="86"/>
        <v/>
      </c>
      <c r="P577" s="294"/>
    </row>
    <row r="578" spans="1:16">
      <c r="A578" s="294">
        <v>49</v>
      </c>
      <c r="B578" s="294" t="s">
        <v>308</v>
      </c>
      <c r="C578" s="294" t="s">
        <v>563</v>
      </c>
      <c r="D578" s="295" t="s">
        <v>1058</v>
      </c>
      <c r="E578" s="296">
        <v>1</v>
      </c>
      <c r="F578" s="294">
        <v>6.5</v>
      </c>
      <c r="G578" s="308">
        <f t="shared" si="92"/>
        <v>10.652895730000001</v>
      </c>
      <c r="H578" s="294">
        <v>190.1</v>
      </c>
      <c r="I578" s="306">
        <v>0.54500000000000004</v>
      </c>
      <c r="J578" s="307">
        <v>2.06</v>
      </c>
      <c r="K578" s="294">
        <f t="shared" si="78"/>
        <v>2.3439999999999999</v>
      </c>
      <c r="L578" s="294">
        <f t="shared" si="79"/>
        <v>0.50114804539465463</v>
      </c>
      <c r="M578" s="309">
        <f>$I$578*L578*(G578/K578)+$J$578</f>
        <v>3.3012881573041799</v>
      </c>
      <c r="N578" s="294">
        <v>0</v>
      </c>
      <c r="O578" s="294" t="str">
        <f t="shared" ref="O578:O641" si="94">IF(N578*M578=0,"",N578*M578)</f>
        <v/>
      </c>
      <c r="P578" s="294">
        <f>AVERAGE(O578:O589)</f>
        <v>5.8535839741078703</v>
      </c>
    </row>
    <row r="579" spans="1:16">
      <c r="A579" s="294"/>
      <c r="B579" s="294" t="s">
        <v>308</v>
      </c>
      <c r="C579" s="294" t="s">
        <v>563</v>
      </c>
      <c r="D579" s="295" t="s">
        <v>1058</v>
      </c>
      <c r="E579" s="296">
        <v>2</v>
      </c>
      <c r="F579" s="294">
        <v>6.2</v>
      </c>
      <c r="G579" s="308">
        <f t="shared" si="92"/>
        <v>11.99888105</v>
      </c>
      <c r="H579" s="294">
        <v>166.5</v>
      </c>
      <c r="I579" s="297"/>
      <c r="J579" s="297"/>
      <c r="K579" s="294">
        <f t="shared" si="78"/>
        <v>2.3512</v>
      </c>
      <c r="L579" s="294">
        <f t="shared" si="79"/>
        <v>0.49684368447763227</v>
      </c>
      <c r="M579" s="309">
        <f t="shared" ref="M579:M589" si="95">$I$578*L579*(G579/K579)+$J$578</f>
        <v>3.441870835070393</v>
      </c>
      <c r="N579" s="294">
        <v>0</v>
      </c>
      <c r="O579" s="294" t="str">
        <f t="shared" si="94"/>
        <v/>
      </c>
      <c r="P579" s="294"/>
    </row>
    <row r="580" spans="1:16">
      <c r="A580" s="294"/>
      <c r="B580" s="294" t="s">
        <v>308</v>
      </c>
      <c r="C580" s="294" t="s">
        <v>563</v>
      </c>
      <c r="D580" s="295" t="s">
        <v>1058</v>
      </c>
      <c r="E580" s="296">
        <v>3</v>
      </c>
      <c r="F580" s="294">
        <v>10.5</v>
      </c>
      <c r="G580" s="308">
        <f t="shared" si="92"/>
        <v>14.637441680000002</v>
      </c>
      <c r="H580" s="294">
        <v>188.6</v>
      </c>
      <c r="I580" s="297"/>
      <c r="J580" s="297"/>
      <c r="K580" s="294">
        <f t="shared" si="78"/>
        <v>2.2480000000000002</v>
      </c>
      <c r="L580" s="294">
        <f t="shared" si="79"/>
        <v>0.55787898239898637</v>
      </c>
      <c r="M580" s="309">
        <f t="shared" si="95"/>
        <v>4.0397273055172533</v>
      </c>
      <c r="N580" s="294">
        <v>0</v>
      </c>
      <c r="O580" s="294" t="str">
        <f t="shared" si="94"/>
        <v/>
      </c>
      <c r="P580" s="294"/>
    </row>
    <row r="581" spans="1:16">
      <c r="A581" s="294"/>
      <c r="B581" s="294" t="s">
        <v>308</v>
      </c>
      <c r="C581" s="294" t="s">
        <v>563</v>
      </c>
      <c r="D581" s="295" t="s">
        <v>1058</v>
      </c>
      <c r="E581" s="296">
        <v>4</v>
      </c>
      <c r="F581" s="294">
        <v>14.5</v>
      </c>
      <c r="G581" s="308">
        <f t="shared" si="92"/>
        <v>14.765493490000001</v>
      </c>
      <c r="H581" s="294">
        <v>149.30000000000001</v>
      </c>
      <c r="I581" s="297"/>
      <c r="J581" s="297"/>
      <c r="K581" s="294">
        <f t="shared" si="78"/>
        <v>2.1520000000000001</v>
      </c>
      <c r="L581" s="294">
        <f t="shared" si="79"/>
        <v>0.61231732805409467</v>
      </c>
      <c r="M581" s="309">
        <f t="shared" si="95"/>
        <v>4.3497008824592598</v>
      </c>
      <c r="N581" s="294">
        <v>0</v>
      </c>
      <c r="O581" s="294" t="str">
        <f t="shared" si="94"/>
        <v/>
      </c>
      <c r="P581" s="294"/>
    </row>
    <row r="582" spans="1:16">
      <c r="A582" s="294"/>
      <c r="B582" s="294" t="s">
        <v>308</v>
      </c>
      <c r="C582" s="294" t="s">
        <v>563</v>
      </c>
      <c r="D582" s="295" t="s">
        <v>1058</v>
      </c>
      <c r="E582" s="296">
        <v>5</v>
      </c>
      <c r="F582" s="294">
        <v>21</v>
      </c>
      <c r="G582" s="308">
        <f t="shared" si="92"/>
        <v>20.56026576</v>
      </c>
      <c r="H582" s="294">
        <v>237.2</v>
      </c>
      <c r="I582" s="297"/>
      <c r="J582" s="297"/>
      <c r="K582" s="294">
        <f t="shared" si="78"/>
        <v>1.996</v>
      </c>
      <c r="L582" s="294">
        <f t="shared" si="79"/>
        <v>0.69261966250512974</v>
      </c>
      <c r="M582" s="309">
        <f t="shared" si="95"/>
        <v>5.9482976757416344</v>
      </c>
      <c r="N582" s="294">
        <v>0</v>
      </c>
      <c r="O582" s="294" t="str">
        <f t="shared" si="94"/>
        <v/>
      </c>
      <c r="P582" s="294"/>
    </row>
    <row r="583" spans="1:16">
      <c r="A583" s="294"/>
      <c r="B583" s="294" t="s">
        <v>308</v>
      </c>
      <c r="C583" s="294" t="s">
        <v>563</v>
      </c>
      <c r="D583" s="295" t="s">
        <v>1058</v>
      </c>
      <c r="E583" s="296">
        <v>6</v>
      </c>
      <c r="F583" s="294">
        <v>22.2</v>
      </c>
      <c r="G583" s="308">
        <f t="shared" si="92"/>
        <v>16.48350194</v>
      </c>
      <c r="H583" s="294">
        <v>145.80000000000001</v>
      </c>
      <c r="I583" s="297"/>
      <c r="J583" s="297"/>
      <c r="K583" s="294">
        <f t="shared" si="78"/>
        <v>1.9672000000000001</v>
      </c>
      <c r="L583" s="294">
        <f t="shared" si="79"/>
        <v>0.70608430100171982</v>
      </c>
      <c r="M583" s="309">
        <f t="shared" si="95"/>
        <v>5.2844379627003555</v>
      </c>
      <c r="N583" s="294">
        <v>0</v>
      </c>
      <c r="O583" s="294" t="str">
        <f t="shared" si="94"/>
        <v/>
      </c>
      <c r="P583" s="294"/>
    </row>
    <row r="584" spans="1:16">
      <c r="A584" s="294"/>
      <c r="B584" s="294" t="s">
        <v>308</v>
      </c>
      <c r="C584" s="294" t="s">
        <v>563</v>
      </c>
      <c r="D584" s="295" t="s">
        <v>1058</v>
      </c>
      <c r="E584" s="296">
        <v>7</v>
      </c>
      <c r="F584" s="294">
        <v>26.3</v>
      </c>
      <c r="G584" s="308">
        <f t="shared" si="92"/>
        <v>18.618197949999995</v>
      </c>
      <c r="H584" s="294">
        <v>201.5</v>
      </c>
      <c r="I584" s="297"/>
      <c r="J584" s="297"/>
      <c r="K584" s="294">
        <f t="shared" si="78"/>
        <v>1.8688</v>
      </c>
      <c r="L584" s="294">
        <f t="shared" si="79"/>
        <v>0.74854854390536441</v>
      </c>
      <c r="M584" s="309">
        <f t="shared" si="95"/>
        <v>6.1243517798907394</v>
      </c>
      <c r="N584" s="294">
        <v>1</v>
      </c>
      <c r="O584" s="294">
        <f t="shared" si="94"/>
        <v>6.1243517798907394</v>
      </c>
      <c r="P584" s="294"/>
    </row>
    <row r="585" spans="1:16">
      <c r="A585" s="294"/>
      <c r="B585" s="294" t="s">
        <v>308</v>
      </c>
      <c r="C585" s="294" t="s">
        <v>563</v>
      </c>
      <c r="D585" s="295" t="s">
        <v>1058</v>
      </c>
      <c r="E585" s="296">
        <v>8</v>
      </c>
      <c r="F585" s="294">
        <v>26.8</v>
      </c>
      <c r="G585" s="308">
        <f t="shared" si="92"/>
        <v>15.931794129999998</v>
      </c>
      <c r="H585" s="294">
        <v>159.1</v>
      </c>
      <c r="I585" s="297"/>
      <c r="J585" s="297"/>
      <c r="K585" s="294">
        <f t="shared" si="78"/>
        <v>1.8568</v>
      </c>
      <c r="L585" s="294">
        <f t="shared" si="79"/>
        <v>0.75334501747293869</v>
      </c>
      <c r="M585" s="309">
        <f t="shared" si="95"/>
        <v>5.5828161683250013</v>
      </c>
      <c r="N585" s="294">
        <v>1</v>
      </c>
      <c r="O585" s="294">
        <f t="shared" si="94"/>
        <v>5.5828161683250013</v>
      </c>
      <c r="P585" s="294"/>
    </row>
    <row r="586" spans="1:16">
      <c r="A586" s="294"/>
      <c r="B586" s="294" t="s">
        <v>308</v>
      </c>
      <c r="C586" s="294" t="s">
        <v>563</v>
      </c>
      <c r="D586" s="295" t="s">
        <v>1058</v>
      </c>
      <c r="E586" s="296">
        <v>9</v>
      </c>
      <c r="F586" s="294">
        <v>23</v>
      </c>
      <c r="G586" s="308">
        <f t="shared" si="92"/>
        <v>12.49597852</v>
      </c>
      <c r="H586" s="294">
        <v>122.4</v>
      </c>
      <c r="I586" s="297"/>
      <c r="J586" s="297"/>
      <c r="K586" s="294">
        <f t="shared" si="78"/>
        <v>1.948</v>
      </c>
      <c r="L586" s="294">
        <f t="shared" si="79"/>
        <v>0.71480420137260092</v>
      </c>
      <c r="M586" s="309">
        <f t="shared" si="95"/>
        <v>4.5589922899204254</v>
      </c>
      <c r="N586" s="294">
        <v>0</v>
      </c>
      <c r="O586" s="294" t="str">
        <f t="shared" si="94"/>
        <v/>
      </c>
      <c r="P586" s="294"/>
    </row>
    <row r="587" spans="1:16">
      <c r="A587" s="294"/>
      <c r="B587" s="294" t="s">
        <v>308</v>
      </c>
      <c r="C587" s="294" t="s">
        <v>563</v>
      </c>
      <c r="D587" s="295" t="s">
        <v>1058</v>
      </c>
      <c r="E587" s="296">
        <v>10</v>
      </c>
      <c r="F587" s="294">
        <v>19</v>
      </c>
      <c r="G587" s="308">
        <f t="shared" si="92"/>
        <v>12.658388729999999</v>
      </c>
      <c r="H587" s="294">
        <v>192.1</v>
      </c>
      <c r="I587" s="297"/>
      <c r="J587" s="297"/>
      <c r="K587" s="294">
        <f t="shared" si="78"/>
        <v>2.044</v>
      </c>
      <c r="L587" s="294">
        <f t="shared" si="79"/>
        <v>0.66918429216402076</v>
      </c>
      <c r="M587" s="309">
        <f t="shared" si="95"/>
        <v>4.3186023589584277</v>
      </c>
      <c r="N587" s="294">
        <v>0</v>
      </c>
      <c r="O587" s="294" t="str">
        <f t="shared" si="94"/>
        <v/>
      </c>
      <c r="P587" s="294"/>
    </row>
    <row r="588" spans="1:16">
      <c r="A588" s="294"/>
      <c r="B588" s="294" t="s">
        <v>308</v>
      </c>
      <c r="C588" s="294" t="s">
        <v>563</v>
      </c>
      <c r="D588" s="295" t="s">
        <v>1058</v>
      </c>
      <c r="E588" s="296">
        <v>11</v>
      </c>
      <c r="F588" s="294">
        <v>14.7</v>
      </c>
      <c r="G588" s="308">
        <f t="shared" si="92"/>
        <v>8.2380741299999993</v>
      </c>
      <c r="H588" s="294">
        <v>124.1</v>
      </c>
      <c r="I588" s="297"/>
      <c r="J588" s="297"/>
      <c r="K588" s="294">
        <f t="shared" si="78"/>
        <v>2.1471999999999998</v>
      </c>
      <c r="L588" s="294">
        <f t="shared" si="79"/>
        <v>0.61495389297523528</v>
      </c>
      <c r="M588" s="309">
        <f t="shared" si="95"/>
        <v>3.3458557598220153</v>
      </c>
      <c r="N588" s="294">
        <v>0</v>
      </c>
      <c r="O588" s="294" t="str">
        <f t="shared" si="94"/>
        <v/>
      </c>
      <c r="P588" s="294"/>
    </row>
    <row r="589" spans="1:16">
      <c r="A589" s="294"/>
      <c r="B589" s="294" t="s">
        <v>308</v>
      </c>
      <c r="C589" s="294" t="s">
        <v>563</v>
      </c>
      <c r="D589" s="295" t="s">
        <v>1058</v>
      </c>
      <c r="E589" s="296">
        <v>12</v>
      </c>
      <c r="F589" s="294">
        <v>10.1</v>
      </c>
      <c r="G589" s="308">
        <f t="shared" si="92"/>
        <v>8.4677928199999997</v>
      </c>
      <c r="H589" s="294">
        <v>157.4</v>
      </c>
      <c r="I589" s="297"/>
      <c r="J589" s="297"/>
      <c r="K589" s="294">
        <f t="shared" si="78"/>
        <v>2.2576000000000001</v>
      </c>
      <c r="L589" s="294">
        <f t="shared" si="79"/>
        <v>0.5522845613647327</v>
      </c>
      <c r="M589" s="309">
        <f t="shared" si="95"/>
        <v>3.1889706004651037</v>
      </c>
      <c r="N589" s="294">
        <v>0</v>
      </c>
      <c r="O589" s="294" t="str">
        <f t="shared" si="94"/>
        <v/>
      </c>
      <c r="P589" s="294"/>
    </row>
    <row r="590" spans="1:16">
      <c r="A590" s="294">
        <v>50</v>
      </c>
      <c r="B590" s="294" t="s">
        <v>564</v>
      </c>
      <c r="C590" s="294" t="s">
        <v>564</v>
      </c>
      <c r="D590" s="295" t="s">
        <v>1058</v>
      </c>
      <c r="E590" s="296">
        <v>1</v>
      </c>
      <c r="F590" s="294">
        <v>5.8</v>
      </c>
      <c r="G590" s="294">
        <v>9.1999999999999993</v>
      </c>
      <c r="H590" s="294"/>
      <c r="I590" s="294">
        <v>0.80700000000000005</v>
      </c>
      <c r="J590" s="294">
        <v>0.28999999999999998</v>
      </c>
      <c r="K590" s="294">
        <f t="shared" si="78"/>
        <v>2.3608000000000002</v>
      </c>
      <c r="L590" s="294">
        <f t="shared" si="79"/>
        <v>0.49109939417523152</v>
      </c>
      <c r="M590" s="297">
        <f>$I$590*L590*(G590/K590)+$J$590</f>
        <v>1.8344418595876772</v>
      </c>
      <c r="N590" s="294">
        <v>0</v>
      </c>
      <c r="O590" s="294" t="str">
        <f t="shared" si="94"/>
        <v/>
      </c>
      <c r="P590" s="294">
        <f>AVERAGE(O590:O601)</f>
        <v>5.1876051028797487</v>
      </c>
    </row>
    <row r="591" spans="1:16">
      <c r="A591" s="294"/>
      <c r="B591" s="294" t="s">
        <v>564</v>
      </c>
      <c r="C591" s="294" t="s">
        <v>564</v>
      </c>
      <c r="D591" s="295" t="s">
        <v>1058</v>
      </c>
      <c r="E591" s="296">
        <v>2</v>
      </c>
      <c r="F591" s="294">
        <v>5.7</v>
      </c>
      <c r="G591" s="294">
        <v>11.3</v>
      </c>
      <c r="H591" s="294"/>
      <c r="I591" s="294"/>
      <c r="J591" s="294"/>
      <c r="K591" s="294">
        <f t="shared" si="78"/>
        <v>2.3632</v>
      </c>
      <c r="L591" s="294">
        <f t="shared" si="79"/>
        <v>0.48966257712415773</v>
      </c>
      <c r="M591" s="297">
        <f t="shared" ref="M591:M601" si="96">$I$590*L591*(G591/K591)+$J$590</f>
        <v>2.1795066042031599</v>
      </c>
      <c r="N591" s="294">
        <v>0</v>
      </c>
      <c r="O591" s="294" t="str">
        <f t="shared" si="94"/>
        <v/>
      </c>
      <c r="P591" s="294"/>
    </row>
    <row r="592" spans="1:16">
      <c r="A592" s="294"/>
      <c r="B592" s="294" t="s">
        <v>564</v>
      </c>
      <c r="C592" s="294" t="s">
        <v>564</v>
      </c>
      <c r="D592" s="295" t="s">
        <v>1058</v>
      </c>
      <c r="E592" s="296">
        <v>3</v>
      </c>
      <c r="F592" s="294">
        <v>10.3</v>
      </c>
      <c r="G592" s="294">
        <v>14.5</v>
      </c>
      <c r="H592" s="294"/>
      <c r="I592" s="294"/>
      <c r="J592" s="294"/>
      <c r="K592" s="294">
        <f t="shared" si="78"/>
        <v>2.2528000000000001</v>
      </c>
      <c r="L592" s="294">
        <f t="shared" si="79"/>
        <v>0.55508457099596153</v>
      </c>
      <c r="M592" s="297">
        <f t="shared" si="96"/>
        <v>3.1732218161884069</v>
      </c>
      <c r="N592" s="294">
        <v>0</v>
      </c>
      <c r="O592" s="294" t="str">
        <f t="shared" si="94"/>
        <v/>
      </c>
      <c r="P592" s="294"/>
    </row>
    <row r="593" spans="1:16">
      <c r="A593" s="294"/>
      <c r="B593" s="294" t="s">
        <v>564</v>
      </c>
      <c r="C593" s="294" t="s">
        <v>564</v>
      </c>
      <c r="D593" s="295" t="s">
        <v>1058</v>
      </c>
      <c r="E593" s="296">
        <v>4</v>
      </c>
      <c r="F593" s="294">
        <v>14.5</v>
      </c>
      <c r="G593" s="294">
        <v>14.2</v>
      </c>
      <c r="H593" s="294"/>
      <c r="I593" s="294"/>
      <c r="J593" s="294"/>
      <c r="K593" s="294">
        <f t="shared" si="78"/>
        <v>2.1520000000000001</v>
      </c>
      <c r="L593" s="294">
        <f t="shared" si="79"/>
        <v>0.61231732805409467</v>
      </c>
      <c r="M593" s="297">
        <f t="shared" si="96"/>
        <v>3.5505897718880539</v>
      </c>
      <c r="N593" s="294">
        <v>0</v>
      </c>
      <c r="O593" s="294" t="str">
        <f t="shared" si="94"/>
        <v/>
      </c>
      <c r="P593" s="294"/>
    </row>
    <row r="594" spans="1:16">
      <c r="A594" s="294"/>
      <c r="B594" s="294" t="s">
        <v>564</v>
      </c>
      <c r="C594" s="294" t="s">
        <v>564</v>
      </c>
      <c r="D594" s="295" t="s">
        <v>1058</v>
      </c>
      <c r="E594" s="296">
        <v>5</v>
      </c>
      <c r="F594" s="294">
        <v>21.1</v>
      </c>
      <c r="G594" s="294">
        <v>20.8</v>
      </c>
      <c r="H594" s="294"/>
      <c r="I594" s="294"/>
      <c r="J594" s="294"/>
      <c r="K594" s="294">
        <f t="shared" si="78"/>
        <v>1.9935999999999998</v>
      </c>
      <c r="L594" s="294">
        <f t="shared" si="79"/>
        <v>0.69375912088466873</v>
      </c>
      <c r="M594" s="297">
        <f t="shared" si="96"/>
        <v>6.1312736253620077</v>
      </c>
      <c r="N594" s="294">
        <v>0</v>
      </c>
      <c r="O594" s="294" t="str">
        <f t="shared" si="94"/>
        <v/>
      </c>
      <c r="P594" s="294"/>
    </row>
    <row r="595" spans="1:16">
      <c r="A595" s="294"/>
      <c r="B595" s="294" t="s">
        <v>564</v>
      </c>
      <c r="C595" s="294" t="s">
        <v>564</v>
      </c>
      <c r="D595" s="295" t="s">
        <v>1058</v>
      </c>
      <c r="E595" s="296">
        <v>6</v>
      </c>
      <c r="F595" s="294">
        <v>22.1</v>
      </c>
      <c r="G595" s="294">
        <v>16</v>
      </c>
      <c r="H595" s="294"/>
      <c r="I595" s="294"/>
      <c r="J595" s="294"/>
      <c r="K595" s="294">
        <f t="shared" ref="K595:K658" si="97">2.5-0.024*F595</f>
        <v>1.9695999999999998</v>
      </c>
      <c r="L595" s="294">
        <f t="shared" ref="L595:L658" si="98">1/(1.05+1.4*EXP(-0.0604*F595))</f>
        <v>0.70497978087041202</v>
      </c>
      <c r="M595" s="297">
        <f t="shared" si="96"/>
        <v>4.91159775111635</v>
      </c>
      <c r="N595" s="294">
        <v>0</v>
      </c>
      <c r="O595" s="294" t="str">
        <f t="shared" si="94"/>
        <v/>
      </c>
      <c r="P595" s="294"/>
    </row>
    <row r="596" spans="1:16">
      <c r="A596" s="294"/>
      <c r="B596" s="294" t="s">
        <v>564</v>
      </c>
      <c r="C596" s="294" t="s">
        <v>564</v>
      </c>
      <c r="D596" s="295" t="s">
        <v>1058</v>
      </c>
      <c r="E596" s="296">
        <v>7</v>
      </c>
      <c r="F596" s="294">
        <v>26.2</v>
      </c>
      <c r="G596" s="294">
        <v>16.2</v>
      </c>
      <c r="H596" s="294"/>
      <c r="I596" s="294"/>
      <c r="J596" s="294"/>
      <c r="K596" s="294">
        <f t="shared" si="97"/>
        <v>1.8712</v>
      </c>
      <c r="L596" s="294">
        <f t="shared" si="98"/>
        <v>0.74757921999786014</v>
      </c>
      <c r="M596" s="297">
        <f t="shared" si="96"/>
        <v>5.5130665747755589</v>
      </c>
      <c r="N596" s="294">
        <v>1</v>
      </c>
      <c r="O596" s="294">
        <f t="shared" si="94"/>
        <v>5.5130665747755589</v>
      </c>
      <c r="P596" s="294"/>
    </row>
    <row r="597" spans="1:16">
      <c r="A597" s="294"/>
      <c r="B597" s="294" t="s">
        <v>564</v>
      </c>
      <c r="C597" s="294" t="s">
        <v>564</v>
      </c>
      <c r="D597" s="295" t="s">
        <v>1058</v>
      </c>
      <c r="E597" s="296">
        <v>8</v>
      </c>
      <c r="F597" s="294">
        <v>26.7</v>
      </c>
      <c r="G597" s="294">
        <v>14</v>
      </c>
      <c r="H597" s="294"/>
      <c r="I597" s="294"/>
      <c r="J597" s="294"/>
      <c r="K597" s="294">
        <f t="shared" si="97"/>
        <v>1.8592</v>
      </c>
      <c r="L597" s="294">
        <f t="shared" si="98"/>
        <v>0.75239240916315608</v>
      </c>
      <c r="M597" s="297">
        <f t="shared" si="96"/>
        <v>4.8621436309839385</v>
      </c>
      <c r="N597" s="294">
        <v>1</v>
      </c>
      <c r="O597" s="294">
        <f t="shared" si="94"/>
        <v>4.8621436309839385</v>
      </c>
      <c r="P597" s="294"/>
    </row>
    <row r="598" spans="1:16">
      <c r="A598" s="294"/>
      <c r="B598" s="294" t="s">
        <v>564</v>
      </c>
      <c r="C598" s="294" t="s">
        <v>564</v>
      </c>
      <c r="D598" s="295" t="s">
        <v>1058</v>
      </c>
      <c r="E598" s="296">
        <v>9</v>
      </c>
      <c r="F598" s="294">
        <v>22.6</v>
      </c>
      <c r="G598" s="294">
        <v>11.4</v>
      </c>
      <c r="H598" s="294"/>
      <c r="I598" s="294"/>
      <c r="J598" s="294"/>
      <c r="K598" s="294">
        <f t="shared" si="97"/>
        <v>1.9576</v>
      </c>
      <c r="L598" s="294">
        <f t="shared" si="98"/>
        <v>0.71047016201358149</v>
      </c>
      <c r="M598" s="297">
        <f t="shared" si="96"/>
        <v>3.6288758666185879</v>
      </c>
      <c r="N598" s="294">
        <v>0</v>
      </c>
      <c r="O598" s="294" t="str">
        <f t="shared" si="94"/>
        <v/>
      </c>
      <c r="P598" s="294"/>
    </row>
    <row r="599" spans="1:16">
      <c r="A599" s="294"/>
      <c r="B599" s="294" t="s">
        <v>564</v>
      </c>
      <c r="C599" s="294" t="s">
        <v>564</v>
      </c>
      <c r="D599" s="295" t="s">
        <v>1058</v>
      </c>
      <c r="E599" s="296">
        <v>10</v>
      </c>
      <c r="F599" s="294">
        <v>18.399999999999999</v>
      </c>
      <c r="G599" s="294">
        <v>12.3</v>
      </c>
      <c r="H599" s="294"/>
      <c r="I599" s="294"/>
      <c r="J599" s="294"/>
      <c r="K599" s="294">
        <f t="shared" si="97"/>
        <v>2.0583999999999998</v>
      </c>
      <c r="L599" s="294">
        <f t="shared" si="98"/>
        <v>0.66192047983258717</v>
      </c>
      <c r="M599" s="297">
        <f t="shared" si="96"/>
        <v>3.4819397954072318</v>
      </c>
      <c r="N599" s="294">
        <v>0</v>
      </c>
      <c r="O599" s="294" t="str">
        <f t="shared" si="94"/>
        <v/>
      </c>
      <c r="P599" s="294"/>
    </row>
    <row r="600" spans="1:16">
      <c r="A600" s="294"/>
      <c r="B600" s="294" t="s">
        <v>564</v>
      </c>
      <c r="C600" s="294" t="s">
        <v>564</v>
      </c>
      <c r="D600" s="295" t="s">
        <v>1058</v>
      </c>
      <c r="E600" s="296">
        <v>11</v>
      </c>
      <c r="F600" s="294">
        <v>13.9</v>
      </c>
      <c r="G600" s="294">
        <v>7.9</v>
      </c>
      <c r="H600" s="294"/>
      <c r="I600" s="294"/>
      <c r="J600" s="294"/>
      <c r="K600" s="294">
        <f t="shared" si="97"/>
        <v>2.1663999999999999</v>
      </c>
      <c r="L600" s="294">
        <f t="shared" si="98"/>
        <v>0.60435349971924368</v>
      </c>
      <c r="M600" s="297">
        <f t="shared" si="96"/>
        <v>2.0684965226920675</v>
      </c>
      <c r="N600" s="294">
        <v>0</v>
      </c>
      <c r="O600" s="294" t="str">
        <f t="shared" si="94"/>
        <v/>
      </c>
      <c r="P600" s="294"/>
    </row>
    <row r="601" spans="1:16">
      <c r="A601" s="294"/>
      <c r="B601" s="294" t="s">
        <v>564</v>
      </c>
      <c r="C601" s="294" t="s">
        <v>564</v>
      </c>
      <c r="D601" s="295" t="s">
        <v>1058</v>
      </c>
      <c r="E601" s="296">
        <v>12</v>
      </c>
      <c r="F601" s="294">
        <v>9.3000000000000007</v>
      </c>
      <c r="G601" s="294">
        <v>8.1999999999999993</v>
      </c>
      <c r="H601" s="294"/>
      <c r="I601" s="294"/>
      <c r="J601" s="294"/>
      <c r="K601" s="294">
        <f t="shared" si="97"/>
        <v>2.2768000000000002</v>
      </c>
      <c r="L601" s="294">
        <f t="shared" si="98"/>
        <v>0.5410323242451861</v>
      </c>
      <c r="M601" s="297">
        <f t="shared" si="96"/>
        <v>1.8624821251142367</v>
      </c>
      <c r="N601" s="294">
        <v>0</v>
      </c>
      <c r="O601" s="294" t="str">
        <f t="shared" si="94"/>
        <v/>
      </c>
      <c r="P601" s="294"/>
    </row>
    <row r="602" spans="1:16">
      <c r="A602" s="294">
        <v>51</v>
      </c>
      <c r="B602" s="294" t="s">
        <v>311</v>
      </c>
      <c r="C602" s="294" t="s">
        <v>565</v>
      </c>
      <c r="D602" s="295" t="s">
        <v>1058</v>
      </c>
      <c r="E602" s="296">
        <v>1</v>
      </c>
      <c r="F602" s="294">
        <v>7.5</v>
      </c>
      <c r="G602" s="308">
        <f t="shared" ref="G602:G649" si="99">$T$11+$T$12*H602+INDEX($T$13:$T$24,MATCH(E602,$S$13:$S$24,0),1)</f>
        <v>9.0688240899999997</v>
      </c>
      <c r="H602" s="294">
        <v>155.30000000000001</v>
      </c>
      <c r="I602" s="306">
        <v>0.56599999999999995</v>
      </c>
      <c r="J602" s="307">
        <v>1.55</v>
      </c>
      <c r="K602" s="294">
        <f t="shared" si="97"/>
        <v>2.3199999999999998</v>
      </c>
      <c r="L602" s="294">
        <f t="shared" si="98"/>
        <v>0.51546248616696222</v>
      </c>
      <c r="M602" s="309">
        <f>$I$602*L602*(G602/K602)+$J$602</f>
        <v>2.6904506269034085</v>
      </c>
      <c r="N602" s="294">
        <v>0</v>
      </c>
      <c r="O602" s="294" t="str">
        <f t="shared" si="94"/>
        <v/>
      </c>
      <c r="P602" s="294">
        <f>AVERAGE(O602:O613)</f>
        <v>5.3571944082774836</v>
      </c>
    </row>
    <row r="603" spans="1:16">
      <c r="A603" s="294"/>
      <c r="B603" s="294" t="s">
        <v>311</v>
      </c>
      <c r="C603" s="294" t="s">
        <v>565</v>
      </c>
      <c r="D603" s="295" t="s">
        <v>1058</v>
      </c>
      <c r="E603" s="296">
        <v>2</v>
      </c>
      <c r="F603" s="294">
        <v>7.8</v>
      </c>
      <c r="G603" s="308">
        <f t="shared" si="99"/>
        <v>12.080815790000001</v>
      </c>
      <c r="H603" s="294">
        <v>168.3</v>
      </c>
      <c r="I603" s="297"/>
      <c r="J603" s="297"/>
      <c r="K603" s="294">
        <f t="shared" si="97"/>
        <v>2.3128000000000002</v>
      </c>
      <c r="L603" s="294">
        <f t="shared" si="98"/>
        <v>0.51974411192253844</v>
      </c>
      <c r="M603" s="309">
        <f t="shared" ref="M603:M613" si="100">$I$602*L603*(G603/K603)+$J$602</f>
        <v>3.0866119019048357</v>
      </c>
      <c r="N603" s="294">
        <v>0</v>
      </c>
      <c r="O603" s="294" t="str">
        <f t="shared" si="94"/>
        <v/>
      </c>
      <c r="P603" s="294"/>
    </row>
    <row r="604" spans="1:16">
      <c r="A604" s="294"/>
      <c r="B604" s="294" t="s">
        <v>311</v>
      </c>
      <c r="C604" s="294" t="s">
        <v>565</v>
      </c>
      <c r="D604" s="295" t="s">
        <v>1058</v>
      </c>
      <c r="E604" s="296">
        <v>3</v>
      </c>
      <c r="F604" s="294">
        <v>11</v>
      </c>
      <c r="G604" s="308">
        <f t="shared" si="99"/>
        <v>14.39618939</v>
      </c>
      <c r="H604" s="294">
        <v>183.3</v>
      </c>
      <c r="I604" s="297"/>
      <c r="J604" s="297"/>
      <c r="K604" s="294">
        <f t="shared" si="97"/>
        <v>2.2359999999999998</v>
      </c>
      <c r="L604" s="294">
        <f t="shared" si="98"/>
        <v>0.56483929877471772</v>
      </c>
      <c r="M604" s="309">
        <f t="shared" si="100"/>
        <v>3.6083398803053699</v>
      </c>
      <c r="N604" s="294">
        <v>0</v>
      </c>
      <c r="O604" s="294" t="str">
        <f t="shared" si="94"/>
        <v/>
      </c>
      <c r="P604" s="294"/>
    </row>
    <row r="605" spans="1:16">
      <c r="A605" s="294"/>
      <c r="B605" s="294" t="s">
        <v>311</v>
      </c>
      <c r="C605" s="294" t="s">
        <v>565</v>
      </c>
      <c r="D605" s="295" t="s">
        <v>1058</v>
      </c>
      <c r="E605" s="296">
        <v>4</v>
      </c>
      <c r="F605" s="294">
        <v>14.3</v>
      </c>
      <c r="G605" s="308">
        <f t="shared" si="99"/>
        <v>13.955249949999999</v>
      </c>
      <c r="H605" s="294">
        <v>131.5</v>
      </c>
      <c r="I605" s="297"/>
      <c r="J605" s="297"/>
      <c r="K605" s="294">
        <f t="shared" si="97"/>
        <v>2.1568000000000001</v>
      </c>
      <c r="L605" s="294">
        <f t="shared" si="98"/>
        <v>0.60967164273634389</v>
      </c>
      <c r="M605" s="309">
        <f t="shared" si="100"/>
        <v>3.7827503762917436</v>
      </c>
      <c r="N605" s="294">
        <v>0</v>
      </c>
      <c r="O605" s="294" t="str">
        <f t="shared" si="94"/>
        <v/>
      </c>
      <c r="P605" s="294"/>
    </row>
    <row r="606" spans="1:16">
      <c r="A606" s="294"/>
      <c r="B606" s="294" t="s">
        <v>311</v>
      </c>
      <c r="C606" s="294" t="s">
        <v>565</v>
      </c>
      <c r="D606" s="295" t="s">
        <v>1058</v>
      </c>
      <c r="E606" s="296">
        <v>5</v>
      </c>
      <c r="F606" s="294">
        <v>19.2</v>
      </c>
      <c r="G606" s="308">
        <f t="shared" si="99"/>
        <v>19.349452380000002</v>
      </c>
      <c r="H606" s="294">
        <v>210.6</v>
      </c>
      <c r="I606" s="297"/>
      <c r="J606" s="297"/>
      <c r="K606" s="294">
        <f t="shared" si="97"/>
        <v>2.0392000000000001</v>
      </c>
      <c r="L606" s="294">
        <f t="shared" si="98"/>
        <v>0.67158214765081492</v>
      </c>
      <c r="M606" s="309">
        <f t="shared" si="100"/>
        <v>5.1568196745972958</v>
      </c>
      <c r="N606" s="294">
        <v>0</v>
      </c>
      <c r="O606" s="294" t="str">
        <f t="shared" si="94"/>
        <v/>
      </c>
      <c r="P606" s="294"/>
    </row>
    <row r="607" spans="1:16">
      <c r="A607" s="294"/>
      <c r="B607" s="294" t="s">
        <v>311</v>
      </c>
      <c r="C607" s="294" t="s">
        <v>565</v>
      </c>
      <c r="D607" s="295" t="s">
        <v>1058</v>
      </c>
      <c r="E607" s="296">
        <v>6</v>
      </c>
      <c r="F607" s="294">
        <v>20.6</v>
      </c>
      <c r="G607" s="308">
        <f t="shared" si="99"/>
        <v>15.199857680000001</v>
      </c>
      <c r="H607" s="294">
        <v>117.6</v>
      </c>
      <c r="I607" s="297"/>
      <c r="J607" s="297"/>
      <c r="K607" s="294">
        <f t="shared" si="97"/>
        <v>2.0055999999999998</v>
      </c>
      <c r="L607" s="294">
        <f t="shared" si="98"/>
        <v>0.68803058654568494</v>
      </c>
      <c r="M607" s="309">
        <f t="shared" si="100"/>
        <v>4.5013409050455904</v>
      </c>
      <c r="N607" s="294">
        <v>0</v>
      </c>
      <c r="O607" s="294" t="str">
        <f t="shared" si="94"/>
        <v/>
      </c>
      <c r="P607" s="294"/>
    </row>
    <row r="608" spans="1:16">
      <c r="A608" s="294"/>
      <c r="B608" s="294" t="s">
        <v>311</v>
      </c>
      <c r="C608" s="294" t="s">
        <v>565</v>
      </c>
      <c r="D608" s="295" t="s">
        <v>1058</v>
      </c>
      <c r="E608" s="296">
        <v>7</v>
      </c>
      <c r="F608" s="294">
        <v>24.8</v>
      </c>
      <c r="G608" s="308">
        <f t="shared" si="99"/>
        <v>16.911224199999999</v>
      </c>
      <c r="H608" s="294">
        <v>164</v>
      </c>
      <c r="I608" s="297"/>
      <c r="J608" s="297"/>
      <c r="K608" s="294">
        <f t="shared" si="97"/>
        <v>1.9047999999999998</v>
      </c>
      <c r="L608" s="294">
        <f t="shared" si="98"/>
        <v>0.73365813797851909</v>
      </c>
      <c r="M608" s="309">
        <f t="shared" si="100"/>
        <v>5.2366833304022711</v>
      </c>
      <c r="N608" s="294">
        <v>1</v>
      </c>
      <c r="O608" s="294">
        <f t="shared" si="94"/>
        <v>5.2366833304022711</v>
      </c>
      <c r="P608" s="294"/>
    </row>
    <row r="609" spans="1:16">
      <c r="A609" s="294"/>
      <c r="B609" s="294" t="s">
        <v>311</v>
      </c>
      <c r="C609" s="294" t="s">
        <v>565</v>
      </c>
      <c r="D609" s="295" t="s">
        <v>1058</v>
      </c>
      <c r="E609" s="296">
        <v>8</v>
      </c>
      <c r="F609" s="294">
        <v>26.3</v>
      </c>
      <c r="G609" s="308">
        <f t="shared" si="99"/>
        <v>17.324684710000003</v>
      </c>
      <c r="H609" s="294">
        <v>189.7</v>
      </c>
      <c r="I609" s="297"/>
      <c r="J609" s="297"/>
      <c r="K609" s="294">
        <f t="shared" si="97"/>
        <v>1.8688</v>
      </c>
      <c r="L609" s="294">
        <f t="shared" si="98"/>
        <v>0.74854854390536441</v>
      </c>
      <c r="M609" s="309">
        <f t="shared" si="100"/>
        <v>5.4777054861526961</v>
      </c>
      <c r="N609" s="294">
        <v>1</v>
      </c>
      <c r="O609" s="294">
        <f t="shared" si="94"/>
        <v>5.4777054861526961</v>
      </c>
      <c r="P609" s="294"/>
    </row>
    <row r="610" spans="1:16">
      <c r="A610" s="294"/>
      <c r="B610" s="294" t="s">
        <v>311</v>
      </c>
      <c r="C610" s="294" t="s">
        <v>565</v>
      </c>
      <c r="D610" s="295" t="s">
        <v>1058</v>
      </c>
      <c r="E610" s="296">
        <v>9</v>
      </c>
      <c r="F610" s="294">
        <v>22.5</v>
      </c>
      <c r="G610" s="308">
        <f t="shared" si="99"/>
        <v>12.409491849999998</v>
      </c>
      <c r="H610" s="294">
        <v>120.5</v>
      </c>
      <c r="I610" s="297"/>
      <c r="J610" s="297"/>
      <c r="K610" s="294">
        <f t="shared" si="97"/>
        <v>1.96</v>
      </c>
      <c r="L610" s="294">
        <f t="shared" si="98"/>
        <v>0.70937854133350386</v>
      </c>
      <c r="M610" s="309">
        <f t="shared" si="100"/>
        <v>4.0920986788875204</v>
      </c>
      <c r="N610" s="294">
        <v>0</v>
      </c>
      <c r="O610" s="294" t="str">
        <f t="shared" si="94"/>
        <v/>
      </c>
      <c r="P610" s="294"/>
    </row>
    <row r="611" spans="1:16">
      <c r="A611" s="294"/>
      <c r="B611" s="294" t="s">
        <v>311</v>
      </c>
      <c r="C611" s="294" t="s">
        <v>565</v>
      </c>
      <c r="D611" s="295" t="s">
        <v>1058</v>
      </c>
      <c r="E611" s="296">
        <v>10</v>
      </c>
      <c r="F611" s="294">
        <v>18.7</v>
      </c>
      <c r="G611" s="308">
        <f t="shared" si="99"/>
        <v>11.91642414</v>
      </c>
      <c r="H611" s="294">
        <v>175.8</v>
      </c>
      <c r="I611" s="297"/>
      <c r="J611" s="297"/>
      <c r="K611" s="294">
        <f t="shared" si="97"/>
        <v>2.0512000000000001</v>
      </c>
      <c r="L611" s="294">
        <f t="shared" si="98"/>
        <v>0.66556547157492041</v>
      </c>
      <c r="M611" s="309">
        <f t="shared" si="100"/>
        <v>3.7384929874999218</v>
      </c>
      <c r="N611" s="294">
        <v>0</v>
      </c>
      <c r="O611" s="294" t="str">
        <f t="shared" si="94"/>
        <v/>
      </c>
      <c r="P611" s="294"/>
    </row>
    <row r="612" spans="1:16">
      <c r="A612" s="294"/>
      <c r="B612" s="294" t="s">
        <v>311</v>
      </c>
      <c r="C612" s="294" t="s">
        <v>565</v>
      </c>
      <c r="D612" s="295" t="s">
        <v>1058</v>
      </c>
      <c r="E612" s="296">
        <v>11</v>
      </c>
      <c r="F612" s="294">
        <v>15.4</v>
      </c>
      <c r="G612" s="308">
        <f t="shared" si="99"/>
        <v>7.7601214799999987</v>
      </c>
      <c r="H612" s="294">
        <v>113.6</v>
      </c>
      <c r="I612" s="297"/>
      <c r="J612" s="297"/>
      <c r="K612" s="294">
        <f t="shared" si="97"/>
        <v>2.1303999999999998</v>
      </c>
      <c r="L612" s="294">
        <f t="shared" si="98"/>
        <v>0.62410798525255673</v>
      </c>
      <c r="M612" s="309">
        <f t="shared" si="100"/>
        <v>2.8367184757435244</v>
      </c>
      <c r="N612" s="294">
        <v>0</v>
      </c>
      <c r="O612" s="294" t="str">
        <f t="shared" si="94"/>
        <v/>
      </c>
      <c r="P612" s="294"/>
    </row>
    <row r="613" spans="1:16">
      <c r="A613" s="294"/>
      <c r="B613" s="294" t="s">
        <v>311</v>
      </c>
      <c r="C613" s="294" t="s">
        <v>565</v>
      </c>
      <c r="D613" s="295" t="s">
        <v>1058</v>
      </c>
      <c r="E613" s="296">
        <v>12</v>
      </c>
      <c r="F613" s="294">
        <v>11.7</v>
      </c>
      <c r="G613" s="308">
        <f t="shared" si="99"/>
        <v>7.7212762999999986</v>
      </c>
      <c r="H613" s="294">
        <v>141</v>
      </c>
      <c r="I613" s="297"/>
      <c r="J613" s="297"/>
      <c r="K613" s="294">
        <f t="shared" si="97"/>
        <v>2.2191999999999998</v>
      </c>
      <c r="L613" s="294">
        <f t="shared" si="98"/>
        <v>0.57451755988603115</v>
      </c>
      <c r="M613" s="309">
        <f t="shared" si="100"/>
        <v>2.6813901368062014</v>
      </c>
      <c r="N613" s="294">
        <v>0</v>
      </c>
      <c r="O613" s="294" t="str">
        <f t="shared" si="94"/>
        <v/>
      </c>
      <c r="P613" s="294"/>
    </row>
    <row r="614" spans="1:16">
      <c r="A614" s="294">
        <v>52</v>
      </c>
      <c r="B614" s="294" t="s">
        <v>311</v>
      </c>
      <c r="C614" s="294" t="s">
        <v>566</v>
      </c>
      <c r="D614" s="295" t="s">
        <v>1058</v>
      </c>
      <c r="E614" s="296">
        <v>1</v>
      </c>
      <c r="F614" s="294">
        <v>10.1</v>
      </c>
      <c r="G614" s="308">
        <f t="shared" si="99"/>
        <v>7.6713815799999994</v>
      </c>
      <c r="H614" s="294">
        <v>124.6</v>
      </c>
      <c r="I614" s="306">
        <v>0.43</v>
      </c>
      <c r="J614" s="307">
        <v>2.35</v>
      </c>
      <c r="K614" s="294">
        <f t="shared" si="97"/>
        <v>2.2576000000000001</v>
      </c>
      <c r="L614" s="294">
        <f t="shared" si="98"/>
        <v>0.5522845613647327</v>
      </c>
      <c r="M614" s="309">
        <f>$I$614*L614*(G614/K614)+$J$614</f>
        <v>3.1569710368169162</v>
      </c>
      <c r="N614" s="294">
        <v>0</v>
      </c>
      <c r="O614" s="294" t="str">
        <f t="shared" si="94"/>
        <v/>
      </c>
      <c r="P614" s="294">
        <f>AVERAGE(O614:O625)</f>
        <v>5.3723037964697768</v>
      </c>
    </row>
    <row r="615" spans="1:16">
      <c r="A615" s="294"/>
      <c r="B615" s="294" t="s">
        <v>311</v>
      </c>
      <c r="C615" s="294" t="s">
        <v>566</v>
      </c>
      <c r="D615" s="295" t="s">
        <v>1058</v>
      </c>
      <c r="E615" s="296">
        <v>2</v>
      </c>
      <c r="F615" s="294">
        <v>9.6</v>
      </c>
      <c r="G615" s="308">
        <f t="shared" si="99"/>
        <v>9.704708329999999</v>
      </c>
      <c r="H615" s="294">
        <v>116.1</v>
      </c>
      <c r="I615" s="297"/>
      <c r="J615" s="297"/>
      <c r="K615" s="294">
        <f t="shared" si="97"/>
        <v>2.2696000000000001</v>
      </c>
      <c r="L615" s="294">
        <f t="shared" si="98"/>
        <v>0.54526128290874298</v>
      </c>
      <c r="M615" s="309">
        <f t="shared" ref="M615:M625" si="101">$I$614*L615*(G615/K615)+$J$614</f>
        <v>3.352550553902236</v>
      </c>
      <c r="N615" s="294">
        <v>0</v>
      </c>
      <c r="O615" s="294" t="str">
        <f t="shared" si="94"/>
        <v/>
      </c>
      <c r="P615" s="294"/>
    </row>
    <row r="616" spans="1:16">
      <c r="A616" s="294"/>
      <c r="B616" s="294" t="s">
        <v>311</v>
      </c>
      <c r="C616" s="294" t="s">
        <v>566</v>
      </c>
      <c r="D616" s="295" t="s">
        <v>1058</v>
      </c>
      <c r="E616" s="296">
        <v>3</v>
      </c>
      <c r="F616" s="294">
        <v>12.5</v>
      </c>
      <c r="G616" s="308">
        <f t="shared" si="99"/>
        <v>12.930467929999999</v>
      </c>
      <c r="H616" s="294">
        <v>151.1</v>
      </c>
      <c r="I616" s="297"/>
      <c r="J616" s="297"/>
      <c r="K616" s="294">
        <f t="shared" si="97"/>
        <v>2.2000000000000002</v>
      </c>
      <c r="L616" s="294">
        <f t="shared" si="98"/>
        <v>0.58547499969373429</v>
      </c>
      <c r="M616" s="309">
        <f t="shared" si="101"/>
        <v>3.8296819337106065</v>
      </c>
      <c r="N616" s="294">
        <v>0</v>
      </c>
      <c r="O616" s="294" t="str">
        <f t="shared" si="94"/>
        <v/>
      </c>
      <c r="P616" s="294"/>
    </row>
    <row r="617" spans="1:16">
      <c r="A617" s="294"/>
      <c r="B617" s="294" t="s">
        <v>311</v>
      </c>
      <c r="C617" s="294" t="s">
        <v>566</v>
      </c>
      <c r="D617" s="295" t="s">
        <v>1058</v>
      </c>
      <c r="E617" s="296">
        <v>4</v>
      </c>
      <c r="F617" s="294">
        <v>15.9</v>
      </c>
      <c r="G617" s="308">
        <f t="shared" si="99"/>
        <v>13.937042229999999</v>
      </c>
      <c r="H617" s="294">
        <v>131.1</v>
      </c>
      <c r="I617" s="297"/>
      <c r="J617" s="297"/>
      <c r="K617" s="294">
        <f t="shared" si="97"/>
        <v>2.1183999999999998</v>
      </c>
      <c r="L617" s="294">
        <f t="shared" si="98"/>
        <v>0.63057384037924924</v>
      </c>
      <c r="M617" s="309">
        <f t="shared" si="101"/>
        <v>4.1338858215042089</v>
      </c>
      <c r="N617" s="294">
        <v>0</v>
      </c>
      <c r="O617" s="294" t="str">
        <f t="shared" si="94"/>
        <v/>
      </c>
      <c r="P617" s="294"/>
    </row>
    <row r="618" spans="1:16">
      <c r="A618" s="294"/>
      <c r="B618" s="294" t="s">
        <v>311</v>
      </c>
      <c r="C618" s="294" t="s">
        <v>566</v>
      </c>
      <c r="D618" s="295" t="s">
        <v>1058</v>
      </c>
      <c r="E618" s="296">
        <v>5</v>
      </c>
      <c r="F618" s="294">
        <v>19.399999999999999</v>
      </c>
      <c r="G618" s="308">
        <f t="shared" si="99"/>
        <v>18.348027780000002</v>
      </c>
      <c r="H618" s="294">
        <v>188.6</v>
      </c>
      <c r="I618" s="297"/>
      <c r="J618" s="297"/>
      <c r="K618" s="294">
        <f t="shared" si="97"/>
        <v>2.0344000000000002</v>
      </c>
      <c r="L618" s="294">
        <f t="shared" si="98"/>
        <v>0.67396814722434939</v>
      </c>
      <c r="M618" s="309">
        <f t="shared" si="101"/>
        <v>4.963730880793463</v>
      </c>
      <c r="N618" s="294">
        <v>0</v>
      </c>
      <c r="O618" s="294" t="str">
        <f t="shared" si="94"/>
        <v/>
      </c>
      <c r="P618" s="294"/>
    </row>
    <row r="619" spans="1:16">
      <c r="A619" s="294"/>
      <c r="B619" s="294" t="s">
        <v>311</v>
      </c>
      <c r="C619" s="294" t="s">
        <v>566</v>
      </c>
      <c r="D619" s="295" t="s">
        <v>1058</v>
      </c>
      <c r="E619" s="296">
        <v>6</v>
      </c>
      <c r="F619" s="294">
        <v>20.9</v>
      </c>
      <c r="G619" s="308">
        <f t="shared" si="99"/>
        <v>14.963157320000001</v>
      </c>
      <c r="H619" s="294">
        <v>112.4</v>
      </c>
      <c r="I619" s="297"/>
      <c r="J619" s="297"/>
      <c r="K619" s="294">
        <f t="shared" si="97"/>
        <v>1.9984000000000002</v>
      </c>
      <c r="L619" s="294">
        <f t="shared" si="98"/>
        <v>0.69147707180847306</v>
      </c>
      <c r="M619" s="309">
        <f t="shared" si="101"/>
        <v>4.5763172986972283</v>
      </c>
      <c r="N619" s="294">
        <v>0</v>
      </c>
      <c r="O619" s="294" t="str">
        <f t="shared" si="94"/>
        <v/>
      </c>
      <c r="P619" s="294"/>
    </row>
    <row r="620" spans="1:16">
      <c r="A620" s="294"/>
      <c r="B620" s="294" t="s">
        <v>311</v>
      </c>
      <c r="C620" s="294" t="s">
        <v>566</v>
      </c>
      <c r="D620" s="295" t="s">
        <v>1058</v>
      </c>
      <c r="E620" s="296">
        <v>7</v>
      </c>
      <c r="F620" s="294">
        <v>25.4</v>
      </c>
      <c r="G620" s="308">
        <f t="shared" si="99"/>
        <v>17.229859300000001</v>
      </c>
      <c r="H620" s="294">
        <v>171</v>
      </c>
      <c r="I620" s="297"/>
      <c r="J620" s="297"/>
      <c r="K620" s="294">
        <f t="shared" si="97"/>
        <v>1.8904000000000001</v>
      </c>
      <c r="L620" s="294">
        <f t="shared" si="98"/>
        <v>0.73970436015123497</v>
      </c>
      <c r="M620" s="309">
        <f t="shared" si="101"/>
        <v>5.249042996757824</v>
      </c>
      <c r="N620" s="294">
        <v>1</v>
      </c>
      <c r="O620" s="294">
        <f t="shared" si="94"/>
        <v>5.249042996757824</v>
      </c>
      <c r="P620" s="294"/>
    </row>
    <row r="621" spans="1:16">
      <c r="A621" s="294"/>
      <c r="B621" s="294" t="s">
        <v>311</v>
      </c>
      <c r="C621" s="294" t="s">
        <v>566</v>
      </c>
      <c r="D621" s="295" t="s">
        <v>1058</v>
      </c>
      <c r="E621" s="296">
        <v>8</v>
      </c>
      <c r="F621" s="294">
        <v>26.8</v>
      </c>
      <c r="G621" s="308">
        <f t="shared" si="99"/>
        <v>18.030233859999999</v>
      </c>
      <c r="H621" s="294">
        <v>205.2</v>
      </c>
      <c r="I621" s="297"/>
      <c r="J621" s="297"/>
      <c r="K621" s="294">
        <f t="shared" si="97"/>
        <v>1.8568</v>
      </c>
      <c r="L621" s="294">
        <f t="shared" si="98"/>
        <v>0.75334501747293869</v>
      </c>
      <c r="M621" s="309">
        <f t="shared" si="101"/>
        <v>5.4955645961817297</v>
      </c>
      <c r="N621" s="294">
        <v>1</v>
      </c>
      <c r="O621" s="294">
        <f t="shared" si="94"/>
        <v>5.4955645961817297</v>
      </c>
      <c r="P621" s="294"/>
    </row>
    <row r="622" spans="1:16">
      <c r="A622" s="294"/>
      <c r="B622" s="294" t="s">
        <v>311</v>
      </c>
      <c r="C622" s="294" t="s">
        <v>566</v>
      </c>
      <c r="D622" s="295" t="s">
        <v>1058</v>
      </c>
      <c r="E622" s="296">
        <v>9</v>
      </c>
      <c r="F622" s="294">
        <v>23.6</v>
      </c>
      <c r="G622" s="308">
        <f t="shared" si="99"/>
        <v>13.501955049999999</v>
      </c>
      <c r="H622" s="294">
        <v>144.5</v>
      </c>
      <c r="I622" s="297"/>
      <c r="J622" s="297"/>
      <c r="K622" s="294">
        <f t="shared" si="97"/>
        <v>1.9336</v>
      </c>
      <c r="L622" s="294">
        <f t="shared" si="98"/>
        <v>0.72120738477570068</v>
      </c>
      <c r="M622" s="309">
        <f t="shared" si="101"/>
        <v>4.5155022585420523</v>
      </c>
      <c r="N622" s="294">
        <v>0</v>
      </c>
      <c r="O622" s="294" t="str">
        <f t="shared" si="94"/>
        <v/>
      </c>
      <c r="P622" s="294"/>
    </row>
    <row r="623" spans="1:16">
      <c r="A623" s="294"/>
      <c r="B623" s="294" t="s">
        <v>311</v>
      </c>
      <c r="C623" s="294" t="s">
        <v>566</v>
      </c>
      <c r="D623" s="295" t="s">
        <v>1058</v>
      </c>
      <c r="E623" s="296">
        <v>10</v>
      </c>
      <c r="F623" s="294">
        <v>20.100000000000001</v>
      </c>
      <c r="G623" s="308">
        <f t="shared" si="99"/>
        <v>11.115284459999998</v>
      </c>
      <c r="H623" s="294">
        <v>158.19999999999999</v>
      </c>
      <c r="I623" s="297"/>
      <c r="J623" s="297"/>
      <c r="K623" s="294">
        <f t="shared" si="97"/>
        <v>2.0175999999999998</v>
      </c>
      <c r="L623" s="294">
        <f t="shared" si="98"/>
        <v>0.68222457536345948</v>
      </c>
      <c r="M623" s="309">
        <f t="shared" si="101"/>
        <v>3.9661487385656478</v>
      </c>
      <c r="N623" s="294">
        <v>0</v>
      </c>
      <c r="O623" s="294" t="str">
        <f t="shared" si="94"/>
        <v/>
      </c>
      <c r="P623" s="294"/>
    </row>
    <row r="624" spans="1:16">
      <c r="A624" s="294"/>
      <c r="B624" s="294" t="s">
        <v>311</v>
      </c>
      <c r="C624" s="294" t="s">
        <v>566</v>
      </c>
      <c r="D624" s="295" t="s">
        <v>1058</v>
      </c>
      <c r="E624" s="296">
        <v>11</v>
      </c>
      <c r="F624" s="294">
        <v>18</v>
      </c>
      <c r="G624" s="308">
        <f t="shared" si="99"/>
        <v>6.2306729999999995</v>
      </c>
      <c r="H624" s="294">
        <v>80</v>
      </c>
      <c r="I624" s="297"/>
      <c r="J624" s="297"/>
      <c r="K624" s="294">
        <f t="shared" si="97"/>
        <v>2.0680000000000001</v>
      </c>
      <c r="L624" s="294">
        <f t="shared" si="98"/>
        <v>0.65702033496476719</v>
      </c>
      <c r="M624" s="309">
        <f t="shared" si="101"/>
        <v>3.2012001501217844</v>
      </c>
      <c r="N624" s="294">
        <v>0</v>
      </c>
      <c r="O624" s="294" t="str">
        <f t="shared" si="94"/>
        <v/>
      </c>
      <c r="P624" s="294"/>
    </row>
    <row r="625" spans="1:16">
      <c r="A625" s="294"/>
      <c r="B625" s="294" t="s">
        <v>311</v>
      </c>
      <c r="C625" s="294" t="s">
        <v>566</v>
      </c>
      <c r="D625" s="295" t="s">
        <v>1058</v>
      </c>
      <c r="E625" s="296">
        <v>12</v>
      </c>
      <c r="F625" s="294">
        <v>14.2</v>
      </c>
      <c r="G625" s="308">
        <f t="shared" si="99"/>
        <v>5.0857088299999988</v>
      </c>
      <c r="H625" s="294">
        <v>83.1</v>
      </c>
      <c r="I625" s="297"/>
      <c r="J625" s="297"/>
      <c r="K625" s="294">
        <f t="shared" si="97"/>
        <v>2.1592000000000002</v>
      </c>
      <c r="L625" s="294">
        <f t="shared" si="98"/>
        <v>0.60834542565835392</v>
      </c>
      <c r="M625" s="309">
        <f t="shared" si="101"/>
        <v>2.9661370471809665</v>
      </c>
      <c r="N625" s="294">
        <v>0</v>
      </c>
      <c r="O625" s="294" t="str">
        <f t="shared" si="94"/>
        <v/>
      </c>
      <c r="P625" s="294"/>
    </row>
    <row r="626" spans="1:16">
      <c r="A626" s="294">
        <v>53</v>
      </c>
      <c r="B626" s="294" t="s">
        <v>311</v>
      </c>
      <c r="C626" s="294" t="s">
        <v>567</v>
      </c>
      <c r="D626" s="295" t="s">
        <v>1058</v>
      </c>
      <c r="E626" s="296">
        <v>1</v>
      </c>
      <c r="F626" s="294">
        <v>10</v>
      </c>
      <c r="G626" s="308">
        <f t="shared" si="99"/>
        <v>5.58204571</v>
      </c>
      <c r="H626" s="294">
        <v>78.7</v>
      </c>
      <c r="I626" s="306">
        <v>0.53700000000000003</v>
      </c>
      <c r="J626" s="307">
        <v>1.73</v>
      </c>
      <c r="K626" s="294">
        <f t="shared" si="97"/>
        <v>2.2599999999999998</v>
      </c>
      <c r="L626" s="294">
        <f t="shared" si="98"/>
        <v>0.55088251592251125</v>
      </c>
      <c r="M626" s="309">
        <f>$I$626*L626*(G626/K626)+$J$626</f>
        <v>2.4606648644222315</v>
      </c>
      <c r="N626" s="294">
        <v>0</v>
      </c>
      <c r="O626" s="294" t="str">
        <f t="shared" si="94"/>
        <v/>
      </c>
      <c r="P626" s="294">
        <f>AVERAGE(O626:O637)</f>
        <v>5.5129059328820382</v>
      </c>
    </row>
    <row r="627" spans="1:16">
      <c r="A627" s="294"/>
      <c r="B627" s="294" t="s">
        <v>311</v>
      </c>
      <c r="C627" s="294" t="s">
        <v>567</v>
      </c>
      <c r="D627" s="295" t="s">
        <v>1058</v>
      </c>
      <c r="E627" s="296">
        <v>2</v>
      </c>
      <c r="F627" s="294">
        <v>9.6</v>
      </c>
      <c r="G627" s="308">
        <f t="shared" si="99"/>
        <v>8.6805240799999996</v>
      </c>
      <c r="H627" s="294">
        <v>93.6</v>
      </c>
      <c r="I627" s="297"/>
      <c r="J627" s="297"/>
      <c r="K627" s="294">
        <f t="shared" si="97"/>
        <v>2.2696000000000001</v>
      </c>
      <c r="L627" s="294">
        <f t="shared" si="98"/>
        <v>0.54526128290874298</v>
      </c>
      <c r="M627" s="309">
        <f t="shared" ref="M627:M637" si="102">$I$626*L627*(G627/K627)+$J$626</f>
        <v>2.8498905246956365</v>
      </c>
      <c r="N627" s="294">
        <v>0</v>
      </c>
      <c r="O627" s="294" t="str">
        <f t="shared" si="94"/>
        <v/>
      </c>
      <c r="P627" s="294"/>
    </row>
    <row r="628" spans="1:16">
      <c r="A628" s="294"/>
      <c r="B628" s="294" t="s">
        <v>311</v>
      </c>
      <c r="C628" s="294" t="s">
        <v>567</v>
      </c>
      <c r="D628" s="295" t="s">
        <v>1058</v>
      </c>
      <c r="E628" s="296">
        <v>3</v>
      </c>
      <c r="F628" s="294">
        <v>12.5</v>
      </c>
      <c r="G628" s="308">
        <f t="shared" si="99"/>
        <v>12.6983195</v>
      </c>
      <c r="H628" s="294">
        <v>146</v>
      </c>
      <c r="I628" s="297"/>
      <c r="J628" s="297"/>
      <c r="K628" s="294">
        <f t="shared" si="97"/>
        <v>2.2000000000000002</v>
      </c>
      <c r="L628" s="294">
        <f t="shared" si="98"/>
        <v>0.58547499969373429</v>
      </c>
      <c r="M628" s="309">
        <f t="shared" si="102"/>
        <v>3.5447057277661536</v>
      </c>
      <c r="N628" s="294">
        <v>0</v>
      </c>
      <c r="O628" s="294" t="str">
        <f t="shared" si="94"/>
        <v/>
      </c>
      <c r="P628" s="294"/>
    </row>
    <row r="629" spans="1:16">
      <c r="A629" s="294"/>
      <c r="B629" s="294" t="s">
        <v>311</v>
      </c>
      <c r="C629" s="294" t="s">
        <v>567</v>
      </c>
      <c r="D629" s="295" t="s">
        <v>1058</v>
      </c>
      <c r="E629" s="296">
        <v>4</v>
      </c>
      <c r="F629" s="294">
        <v>16.2</v>
      </c>
      <c r="G629" s="308">
        <f t="shared" si="99"/>
        <v>13.377154839999999</v>
      </c>
      <c r="H629" s="294">
        <v>118.8</v>
      </c>
      <c r="I629" s="297"/>
      <c r="J629" s="297"/>
      <c r="K629" s="294">
        <f t="shared" si="97"/>
        <v>2.1112000000000002</v>
      </c>
      <c r="L629" s="294">
        <f t="shared" si="98"/>
        <v>0.63442324399527317</v>
      </c>
      <c r="M629" s="309">
        <f t="shared" si="102"/>
        <v>3.8886774201229963</v>
      </c>
      <c r="N629" s="294">
        <v>0</v>
      </c>
      <c r="O629" s="294" t="str">
        <f t="shared" si="94"/>
        <v/>
      </c>
      <c r="P629" s="294"/>
    </row>
    <row r="630" spans="1:16">
      <c r="A630" s="294"/>
      <c r="B630" s="294" t="s">
        <v>311</v>
      </c>
      <c r="C630" s="294" t="s">
        <v>567</v>
      </c>
      <c r="D630" s="295" t="s">
        <v>1058</v>
      </c>
      <c r="E630" s="296">
        <v>5</v>
      </c>
      <c r="F630" s="294">
        <v>19.2</v>
      </c>
      <c r="G630" s="308">
        <f t="shared" si="99"/>
        <v>17.483161079999999</v>
      </c>
      <c r="H630" s="294">
        <v>169.6</v>
      </c>
      <c r="I630" s="297"/>
      <c r="J630" s="297"/>
      <c r="K630" s="294">
        <f t="shared" si="97"/>
        <v>2.0392000000000001</v>
      </c>
      <c r="L630" s="294">
        <f t="shared" si="98"/>
        <v>0.67158214765081492</v>
      </c>
      <c r="M630" s="309">
        <f t="shared" si="102"/>
        <v>4.8219578515847079</v>
      </c>
      <c r="N630" s="294">
        <v>0</v>
      </c>
      <c r="O630" s="294" t="str">
        <f t="shared" si="94"/>
        <v/>
      </c>
      <c r="P630" s="294"/>
    </row>
    <row r="631" spans="1:16">
      <c r="A631" s="294"/>
      <c r="B631" s="294" t="s">
        <v>311</v>
      </c>
      <c r="C631" s="294" t="s">
        <v>567</v>
      </c>
      <c r="D631" s="295" t="s">
        <v>1058</v>
      </c>
      <c r="E631" s="296">
        <v>6</v>
      </c>
      <c r="F631" s="294">
        <v>21.4</v>
      </c>
      <c r="G631" s="308">
        <f t="shared" si="99"/>
        <v>13.574818670000001</v>
      </c>
      <c r="H631" s="294">
        <v>81.900000000000006</v>
      </c>
      <c r="I631" s="297"/>
      <c r="J631" s="297"/>
      <c r="K631" s="294">
        <f t="shared" si="97"/>
        <v>1.9864000000000002</v>
      </c>
      <c r="L631" s="294">
        <f t="shared" si="98"/>
        <v>0.69715862454510524</v>
      </c>
      <c r="M631" s="309">
        <f t="shared" si="102"/>
        <v>4.288428124734688</v>
      </c>
      <c r="N631" s="294">
        <v>0</v>
      </c>
      <c r="O631" s="294" t="str">
        <f t="shared" si="94"/>
        <v/>
      </c>
      <c r="P631" s="294"/>
    </row>
    <row r="632" spans="1:16">
      <c r="A632" s="294"/>
      <c r="B632" s="294" t="s">
        <v>311</v>
      </c>
      <c r="C632" s="294" t="s">
        <v>567</v>
      </c>
      <c r="D632" s="295" t="s">
        <v>1058</v>
      </c>
      <c r="E632" s="296">
        <v>7</v>
      </c>
      <c r="F632" s="294">
        <v>25.7</v>
      </c>
      <c r="G632" s="308">
        <f t="shared" si="99"/>
        <v>16.920328059999999</v>
      </c>
      <c r="H632" s="294">
        <v>164.2</v>
      </c>
      <c r="I632" s="297"/>
      <c r="J632" s="297"/>
      <c r="K632" s="294">
        <f t="shared" si="97"/>
        <v>1.8832</v>
      </c>
      <c r="L632" s="294">
        <f t="shared" si="98"/>
        <v>0.74268247605162208</v>
      </c>
      <c r="M632" s="309">
        <f t="shared" si="102"/>
        <v>5.3133546738285427</v>
      </c>
      <c r="N632" s="294">
        <v>1</v>
      </c>
      <c r="O632" s="294">
        <f t="shared" si="94"/>
        <v>5.3133546738285427</v>
      </c>
      <c r="P632" s="294"/>
    </row>
    <row r="633" spans="1:16">
      <c r="A633" s="294"/>
      <c r="B633" s="294" t="s">
        <v>311</v>
      </c>
      <c r="C633" s="294" t="s">
        <v>567</v>
      </c>
      <c r="D633" s="295" t="s">
        <v>1058</v>
      </c>
      <c r="E633" s="296">
        <v>8</v>
      </c>
      <c r="F633" s="294">
        <v>26.4</v>
      </c>
      <c r="G633" s="308">
        <f t="shared" si="99"/>
        <v>18.467219140000001</v>
      </c>
      <c r="H633" s="294">
        <v>214.8</v>
      </c>
      <c r="I633" s="297"/>
      <c r="J633" s="297"/>
      <c r="K633" s="294">
        <f t="shared" si="97"/>
        <v>1.8664000000000001</v>
      </c>
      <c r="L633" s="294">
        <f t="shared" si="98"/>
        <v>0.74951452498067139</v>
      </c>
      <c r="M633" s="309">
        <f t="shared" si="102"/>
        <v>5.7124571919355347</v>
      </c>
      <c r="N633" s="294">
        <v>1</v>
      </c>
      <c r="O633" s="294">
        <f t="shared" si="94"/>
        <v>5.7124571919355347</v>
      </c>
      <c r="P633" s="294"/>
    </row>
    <row r="634" spans="1:16">
      <c r="A634" s="294"/>
      <c r="B634" s="294" t="s">
        <v>311</v>
      </c>
      <c r="C634" s="294" t="s">
        <v>567</v>
      </c>
      <c r="D634" s="295" t="s">
        <v>1058</v>
      </c>
      <c r="E634" s="296">
        <v>9</v>
      </c>
      <c r="F634" s="294">
        <v>23.5</v>
      </c>
      <c r="G634" s="308">
        <f t="shared" si="99"/>
        <v>13.196975739999999</v>
      </c>
      <c r="H634" s="294">
        <v>137.80000000000001</v>
      </c>
      <c r="I634" s="297"/>
      <c r="J634" s="297"/>
      <c r="K634" s="294">
        <f t="shared" si="97"/>
        <v>1.9359999999999999</v>
      </c>
      <c r="L634" s="294">
        <f t="shared" si="98"/>
        <v>0.72014837826643319</v>
      </c>
      <c r="M634" s="309">
        <f t="shared" si="102"/>
        <v>4.3661209832887309</v>
      </c>
      <c r="N634" s="294">
        <v>0</v>
      </c>
      <c r="O634" s="294" t="str">
        <f t="shared" si="94"/>
        <v/>
      </c>
      <c r="P634" s="294"/>
    </row>
    <row r="635" spans="1:16">
      <c r="A635" s="294"/>
      <c r="B635" s="294" t="s">
        <v>311</v>
      </c>
      <c r="C635" s="294" t="s">
        <v>567</v>
      </c>
      <c r="D635" s="295" t="s">
        <v>1058</v>
      </c>
      <c r="E635" s="296">
        <v>10</v>
      </c>
      <c r="F635" s="294">
        <v>20</v>
      </c>
      <c r="G635" s="308">
        <f t="shared" si="99"/>
        <v>11.52951009</v>
      </c>
      <c r="H635" s="294">
        <v>167.3</v>
      </c>
      <c r="I635" s="297"/>
      <c r="J635" s="297"/>
      <c r="K635" s="294">
        <f t="shared" si="97"/>
        <v>2.02</v>
      </c>
      <c r="L635" s="294">
        <f t="shared" si="98"/>
        <v>0.68105417257260759</v>
      </c>
      <c r="M635" s="309">
        <f t="shared" si="102"/>
        <v>3.817446857709506</v>
      </c>
      <c r="N635" s="294">
        <v>0</v>
      </c>
      <c r="O635" s="294" t="str">
        <f t="shared" si="94"/>
        <v/>
      </c>
      <c r="P635" s="294"/>
    </row>
    <row r="636" spans="1:16">
      <c r="A636" s="294"/>
      <c r="B636" s="294" t="s">
        <v>311</v>
      </c>
      <c r="C636" s="294" t="s">
        <v>567</v>
      </c>
      <c r="D636" s="295" t="s">
        <v>1058</v>
      </c>
      <c r="E636" s="296">
        <v>11</v>
      </c>
      <c r="F636" s="294">
        <v>18.5</v>
      </c>
      <c r="G636" s="308">
        <f t="shared" si="99"/>
        <v>5.4796045499999995</v>
      </c>
      <c r="H636" s="294">
        <v>63.5</v>
      </c>
      <c r="I636" s="297"/>
      <c r="J636" s="297"/>
      <c r="K636" s="294">
        <f t="shared" si="97"/>
        <v>2.056</v>
      </c>
      <c r="L636" s="294">
        <f t="shared" si="98"/>
        <v>0.6631383655085662</v>
      </c>
      <c r="M636" s="309">
        <f t="shared" si="102"/>
        <v>2.6790837717131333</v>
      </c>
      <c r="N636" s="294">
        <v>0</v>
      </c>
      <c r="O636" s="294" t="str">
        <f t="shared" si="94"/>
        <v/>
      </c>
      <c r="P636" s="294"/>
    </row>
    <row r="637" spans="1:16">
      <c r="A637" s="294"/>
      <c r="B637" s="294" t="s">
        <v>311</v>
      </c>
      <c r="C637" s="294" t="s">
        <v>567</v>
      </c>
      <c r="D637" s="295" t="s">
        <v>1058</v>
      </c>
      <c r="E637" s="296">
        <v>12</v>
      </c>
      <c r="F637" s="294">
        <v>14</v>
      </c>
      <c r="G637" s="308">
        <f t="shared" si="99"/>
        <v>5.1995070799999992</v>
      </c>
      <c r="H637" s="294">
        <v>85.6</v>
      </c>
      <c r="I637" s="297"/>
      <c r="J637" s="297"/>
      <c r="K637" s="294">
        <f t="shared" si="97"/>
        <v>2.1640000000000001</v>
      </c>
      <c r="L637" s="294">
        <f t="shared" si="98"/>
        <v>0.60568633538959626</v>
      </c>
      <c r="M637" s="309">
        <f t="shared" si="102"/>
        <v>2.511496395081366</v>
      </c>
      <c r="N637" s="294">
        <v>0</v>
      </c>
      <c r="O637" s="294" t="str">
        <f t="shared" si="94"/>
        <v/>
      </c>
      <c r="P637" s="294"/>
    </row>
    <row r="638" spans="1:16">
      <c r="A638" s="294">
        <v>54</v>
      </c>
      <c r="B638" s="294" t="s">
        <v>568</v>
      </c>
      <c r="C638" s="294" t="s">
        <v>569</v>
      </c>
      <c r="D638" s="295" t="s">
        <v>1058</v>
      </c>
      <c r="E638" s="296">
        <v>1</v>
      </c>
      <c r="F638" s="294">
        <v>6.2</v>
      </c>
      <c r="G638" s="308">
        <f t="shared" si="99"/>
        <v>1.9996768000000005</v>
      </c>
      <c r="H638" s="308"/>
      <c r="I638" s="306">
        <v>0.82</v>
      </c>
      <c r="J638" s="307">
        <v>0.2</v>
      </c>
      <c r="K638" s="294">
        <f t="shared" si="97"/>
        <v>2.3512</v>
      </c>
      <c r="L638" s="294">
        <f t="shared" si="98"/>
        <v>0.49684368447763227</v>
      </c>
      <c r="M638" s="309">
        <f>$I$638*L638*(G638/K638)+$J$638</f>
        <v>0.54650049636044662</v>
      </c>
      <c r="N638" s="294">
        <v>0</v>
      </c>
      <c r="O638" s="294" t="str">
        <f t="shared" si="94"/>
        <v/>
      </c>
      <c r="P638" s="294">
        <f>AVERAGE(O638:O649)</f>
        <v>3.1848008208782654</v>
      </c>
    </row>
    <row r="639" spans="1:16">
      <c r="A639" s="294"/>
      <c r="B639" s="294" t="s">
        <v>568</v>
      </c>
      <c r="C639" s="294" t="s">
        <v>569</v>
      </c>
      <c r="D639" s="295" t="s">
        <v>1058</v>
      </c>
      <c r="E639" s="296">
        <v>2</v>
      </c>
      <c r="F639" s="294">
        <v>6.4</v>
      </c>
      <c r="G639" s="308">
        <f t="shared" si="99"/>
        <v>4.4199175999999998</v>
      </c>
      <c r="H639" s="308"/>
      <c r="I639" s="294"/>
      <c r="J639" s="294"/>
      <c r="K639" s="294">
        <f t="shared" si="97"/>
        <v>2.3464</v>
      </c>
      <c r="L639" s="294">
        <f t="shared" si="98"/>
        <v>0.49971367779083725</v>
      </c>
      <c r="M639" s="309">
        <f t="shared" ref="M639:M649" si="103">$I$638*L639*(G639/K639)+$J$638</f>
        <v>0.97187542155273143</v>
      </c>
      <c r="N639" s="294">
        <v>0</v>
      </c>
      <c r="O639" s="294" t="str">
        <f t="shared" si="94"/>
        <v/>
      </c>
      <c r="P639" s="294"/>
    </row>
    <row r="640" spans="1:16">
      <c r="A640" s="294"/>
      <c r="B640" s="294" t="s">
        <v>568</v>
      </c>
      <c r="C640" s="294" t="s">
        <v>569</v>
      </c>
      <c r="D640" s="295" t="s">
        <v>1058</v>
      </c>
      <c r="E640" s="296">
        <v>3</v>
      </c>
      <c r="F640" s="294">
        <v>10.5</v>
      </c>
      <c r="G640" s="308">
        <f t="shared" si="99"/>
        <v>6.0525017000000005</v>
      </c>
      <c r="H640" s="308"/>
      <c r="I640" s="294"/>
      <c r="J640" s="294"/>
      <c r="K640" s="294">
        <f t="shared" si="97"/>
        <v>2.2480000000000002</v>
      </c>
      <c r="L640" s="294">
        <f t="shared" si="98"/>
        <v>0.55787898239898637</v>
      </c>
      <c r="M640" s="309">
        <f t="shared" si="103"/>
        <v>1.4316646180064905</v>
      </c>
      <c r="N640" s="294">
        <v>0</v>
      </c>
      <c r="O640" s="294" t="str">
        <f t="shared" si="94"/>
        <v/>
      </c>
      <c r="P640" s="294"/>
    </row>
    <row r="641" spans="1:16">
      <c r="A641" s="294"/>
      <c r="B641" s="294" t="s">
        <v>568</v>
      </c>
      <c r="C641" s="294" t="s">
        <v>569</v>
      </c>
      <c r="D641" s="295" t="s">
        <v>1058</v>
      </c>
      <c r="E641" s="296">
        <v>4</v>
      </c>
      <c r="F641" s="294">
        <v>14.6</v>
      </c>
      <c r="G641" s="308">
        <f t="shared" si="99"/>
        <v>7.969462</v>
      </c>
      <c r="H641" s="308"/>
      <c r="I641" s="294"/>
      <c r="J641" s="294"/>
      <c r="K641" s="294">
        <f t="shared" si="97"/>
        <v>2.1496</v>
      </c>
      <c r="L641" s="294">
        <f t="shared" si="98"/>
        <v>0.61363675963733433</v>
      </c>
      <c r="M641" s="309">
        <f t="shared" si="103"/>
        <v>2.065505660095345</v>
      </c>
      <c r="N641" s="294">
        <v>0</v>
      </c>
      <c r="O641" s="294" t="str">
        <f t="shared" si="94"/>
        <v/>
      </c>
      <c r="P641" s="294"/>
    </row>
    <row r="642" spans="1:16">
      <c r="A642" s="294"/>
      <c r="B642" s="294" t="s">
        <v>568</v>
      </c>
      <c r="C642" s="294" t="s">
        <v>569</v>
      </c>
      <c r="D642" s="295" t="s">
        <v>1058</v>
      </c>
      <c r="E642" s="296">
        <v>5</v>
      </c>
      <c r="F642" s="294">
        <v>20.8</v>
      </c>
      <c r="G642" s="308">
        <f t="shared" si="99"/>
        <v>9.763087800000001</v>
      </c>
      <c r="H642" s="308"/>
      <c r="I642" s="294"/>
      <c r="J642" s="294"/>
      <c r="K642" s="294">
        <f t="shared" si="97"/>
        <v>2.0007999999999999</v>
      </c>
      <c r="L642" s="294">
        <f t="shared" si="98"/>
        <v>0.69033135678862079</v>
      </c>
      <c r="M642" s="309">
        <f t="shared" si="103"/>
        <v>2.9621990358280459</v>
      </c>
      <c r="N642" s="294">
        <v>0</v>
      </c>
      <c r="O642" s="294" t="str">
        <f t="shared" ref="O642:O705" si="104">IF(N642*M642=0,"",N642*M642)</f>
        <v/>
      </c>
      <c r="P642" s="294"/>
    </row>
    <row r="643" spans="1:16">
      <c r="A643" s="294"/>
      <c r="B643" s="294" t="s">
        <v>568</v>
      </c>
      <c r="C643" s="294" t="s">
        <v>569</v>
      </c>
      <c r="D643" s="295" t="s">
        <v>1058</v>
      </c>
      <c r="E643" s="296">
        <v>6</v>
      </c>
      <c r="F643" s="294">
        <v>21.9</v>
      </c>
      <c r="G643" s="308">
        <f t="shared" si="99"/>
        <v>9.8467880000000001</v>
      </c>
      <c r="H643" s="308"/>
      <c r="I643" s="294"/>
      <c r="J643" s="294"/>
      <c r="K643" s="294">
        <f t="shared" si="97"/>
        <v>1.9744000000000002</v>
      </c>
      <c r="L643" s="294">
        <f t="shared" si="98"/>
        <v>0.70276111711361078</v>
      </c>
      <c r="M643" s="309">
        <f t="shared" si="103"/>
        <v>3.0739620049564098</v>
      </c>
      <c r="N643" s="294">
        <v>0</v>
      </c>
      <c r="O643" s="294" t="str">
        <f t="shared" si="104"/>
        <v/>
      </c>
      <c r="P643" s="294"/>
    </row>
    <row r="644" spans="1:16">
      <c r="A644" s="294"/>
      <c r="B644" s="294" t="s">
        <v>568</v>
      </c>
      <c r="C644" s="294" t="s">
        <v>569</v>
      </c>
      <c r="D644" s="295" t="s">
        <v>1058</v>
      </c>
      <c r="E644" s="296">
        <v>7</v>
      </c>
      <c r="F644" s="294">
        <v>26</v>
      </c>
      <c r="G644" s="308">
        <f t="shared" si="99"/>
        <v>9.446059</v>
      </c>
      <c r="H644" s="308"/>
      <c r="I644" s="294"/>
      <c r="J644" s="294"/>
      <c r="K644" s="294">
        <f t="shared" si="97"/>
        <v>1.8759999999999999</v>
      </c>
      <c r="L644" s="294">
        <f t="shared" si="98"/>
        <v>0.74563054537472673</v>
      </c>
      <c r="M644" s="309">
        <f t="shared" si="103"/>
        <v>3.2786148728815103</v>
      </c>
      <c r="N644" s="294">
        <v>1</v>
      </c>
      <c r="O644" s="294">
        <f t="shared" si="104"/>
        <v>3.2786148728815103</v>
      </c>
      <c r="P644" s="294"/>
    </row>
    <row r="645" spans="1:16">
      <c r="A645" s="294"/>
      <c r="B645" s="294" t="s">
        <v>568</v>
      </c>
      <c r="C645" s="294" t="s">
        <v>569</v>
      </c>
      <c r="D645" s="295" t="s">
        <v>1058</v>
      </c>
      <c r="E645" s="296">
        <v>8</v>
      </c>
      <c r="F645" s="294">
        <v>26.8</v>
      </c>
      <c r="G645" s="308">
        <f t="shared" si="99"/>
        <v>8.6896734999999996</v>
      </c>
      <c r="H645" s="308"/>
      <c r="I645" s="294"/>
      <c r="J645" s="294"/>
      <c r="K645" s="294">
        <f t="shared" si="97"/>
        <v>1.8568</v>
      </c>
      <c r="L645" s="294">
        <f t="shared" si="98"/>
        <v>0.75334501747293869</v>
      </c>
      <c r="M645" s="309">
        <f t="shared" si="103"/>
        <v>3.0909867688750206</v>
      </c>
      <c r="N645" s="294">
        <v>1</v>
      </c>
      <c r="O645" s="294">
        <f t="shared" si="104"/>
        <v>3.0909867688750206</v>
      </c>
      <c r="P645" s="294"/>
    </row>
    <row r="646" spans="1:16">
      <c r="A646" s="294"/>
      <c r="B646" s="294" t="s">
        <v>568</v>
      </c>
      <c r="C646" s="294" t="s">
        <v>569</v>
      </c>
      <c r="D646" s="295" t="s">
        <v>1058</v>
      </c>
      <c r="E646" s="296">
        <v>9</v>
      </c>
      <c r="F646" s="294">
        <v>22.9</v>
      </c>
      <c r="G646" s="308">
        <f t="shared" si="99"/>
        <v>6.9244161999999996</v>
      </c>
      <c r="H646" s="308"/>
      <c r="I646" s="294"/>
      <c r="J646" s="294"/>
      <c r="K646" s="294">
        <f t="shared" si="97"/>
        <v>1.9504000000000001</v>
      </c>
      <c r="L646" s="294">
        <f t="shared" si="98"/>
        <v>0.71372556847664814</v>
      </c>
      <c r="M646" s="309">
        <f t="shared" si="103"/>
        <v>2.2778040241721738</v>
      </c>
      <c r="N646" s="294">
        <v>0</v>
      </c>
      <c r="O646" s="294" t="str">
        <f t="shared" si="104"/>
        <v/>
      </c>
      <c r="P646" s="294"/>
    </row>
    <row r="647" spans="1:16">
      <c r="A647" s="294"/>
      <c r="B647" s="294" t="s">
        <v>568</v>
      </c>
      <c r="C647" s="294" t="s">
        <v>569</v>
      </c>
      <c r="D647" s="295" t="s">
        <v>1058</v>
      </c>
      <c r="E647" s="296">
        <v>10</v>
      </c>
      <c r="F647" s="294">
        <v>18.899999999999999</v>
      </c>
      <c r="G647" s="308">
        <f t="shared" si="99"/>
        <v>3.9141311999999999</v>
      </c>
      <c r="H647" s="308"/>
      <c r="I647" s="294"/>
      <c r="J647" s="294"/>
      <c r="K647" s="294">
        <f t="shared" si="97"/>
        <v>2.0464000000000002</v>
      </c>
      <c r="L647" s="294">
        <f t="shared" si="98"/>
        <v>0.66798094574788913</v>
      </c>
      <c r="M647" s="309">
        <f t="shared" si="103"/>
        <v>1.2476658277076826</v>
      </c>
      <c r="N647" s="294">
        <v>0</v>
      </c>
      <c r="O647" s="294" t="str">
        <f t="shared" si="104"/>
        <v/>
      </c>
      <c r="P647" s="294"/>
    </row>
    <row r="648" spans="1:16">
      <c r="A648" s="294"/>
      <c r="B648" s="294" t="s">
        <v>568</v>
      </c>
      <c r="C648" s="294" t="s">
        <v>569</v>
      </c>
      <c r="D648" s="295" t="s">
        <v>1058</v>
      </c>
      <c r="E648" s="296">
        <v>11</v>
      </c>
      <c r="F648" s="294">
        <v>14.7</v>
      </c>
      <c r="G648" s="308">
        <f t="shared" si="99"/>
        <v>2.5891289999999998</v>
      </c>
      <c r="H648" s="308"/>
      <c r="I648" s="294"/>
      <c r="J648" s="294"/>
      <c r="K648" s="294">
        <f t="shared" si="97"/>
        <v>2.1471999999999998</v>
      </c>
      <c r="L648" s="294">
        <f t="shared" si="98"/>
        <v>0.61495389297523528</v>
      </c>
      <c r="M648" s="309">
        <f t="shared" si="103"/>
        <v>0.80804762738979319</v>
      </c>
      <c r="N648" s="294">
        <v>0</v>
      </c>
      <c r="O648" s="294" t="str">
        <f t="shared" si="104"/>
        <v/>
      </c>
      <c r="P648" s="294"/>
    </row>
    <row r="649" spans="1:16">
      <c r="A649" s="294"/>
      <c r="B649" s="294" t="s">
        <v>568</v>
      </c>
      <c r="C649" s="294" t="s">
        <v>569</v>
      </c>
      <c r="D649" s="295" t="s">
        <v>1058</v>
      </c>
      <c r="E649" s="296">
        <v>12</v>
      </c>
      <c r="F649" s="294">
        <v>10.1</v>
      </c>
      <c r="G649" s="308">
        <f t="shared" si="99"/>
        <v>1.3030549999999996</v>
      </c>
      <c r="H649" s="308"/>
      <c r="I649" s="294"/>
      <c r="J649" s="294"/>
      <c r="K649" s="294">
        <f t="shared" si="97"/>
        <v>2.2576000000000001</v>
      </c>
      <c r="L649" s="294">
        <f t="shared" si="98"/>
        <v>0.5522845613647327</v>
      </c>
      <c r="M649" s="309">
        <f t="shared" si="103"/>
        <v>0.46139212901731025</v>
      </c>
      <c r="N649" s="294">
        <v>0</v>
      </c>
      <c r="O649" s="294" t="str">
        <f t="shared" si="104"/>
        <v/>
      </c>
      <c r="P649" s="294"/>
    </row>
    <row r="650" spans="1:16">
      <c r="A650" s="294">
        <v>55</v>
      </c>
      <c r="B650" s="294" t="s">
        <v>570</v>
      </c>
      <c r="C650" s="294" t="s">
        <v>570</v>
      </c>
      <c r="D650" s="295" t="s">
        <v>1058</v>
      </c>
      <c r="E650" s="296">
        <v>1</v>
      </c>
      <c r="F650" s="294">
        <v>3.1</v>
      </c>
      <c r="G650" s="294">
        <v>5.0999999999999996</v>
      </c>
      <c r="H650" s="294"/>
      <c r="I650" s="294">
        <v>0.78300000000000003</v>
      </c>
      <c r="J650" s="294">
        <v>0.36</v>
      </c>
      <c r="K650" s="294">
        <f t="shared" si="97"/>
        <v>2.4256000000000002</v>
      </c>
      <c r="L650" s="294">
        <f t="shared" si="98"/>
        <v>0.45229578234542955</v>
      </c>
      <c r="M650" s="297">
        <f>$I$650*L650*(G650/K650)+$J$650</f>
        <v>1.1046210206299487</v>
      </c>
      <c r="N650" s="294">
        <v>0</v>
      </c>
      <c r="O650" s="294" t="str">
        <f t="shared" si="104"/>
        <v/>
      </c>
      <c r="P650" s="294">
        <f>AVERAGE(O650:O661)</f>
        <v>5.846057326650528</v>
      </c>
    </row>
    <row r="651" spans="1:16">
      <c r="A651" s="294"/>
      <c r="B651" s="294" t="s">
        <v>570</v>
      </c>
      <c r="C651" s="294" t="s">
        <v>570</v>
      </c>
      <c r="D651" s="295" t="s">
        <v>1058</v>
      </c>
      <c r="E651" s="296">
        <v>2</v>
      </c>
      <c r="F651" s="294">
        <v>3.9</v>
      </c>
      <c r="G651" s="294">
        <v>7.2</v>
      </c>
      <c r="H651" s="294"/>
      <c r="I651" s="294"/>
      <c r="J651" s="294"/>
      <c r="K651" s="294">
        <f t="shared" si="97"/>
        <v>2.4064000000000001</v>
      </c>
      <c r="L651" s="294">
        <f t="shared" si="98"/>
        <v>0.46378326771227446</v>
      </c>
      <c r="M651" s="297">
        <f t="shared" ref="M651:M661" si="105">$I$650*L651*(G651/K651)+$J$650</f>
        <v>1.4465294838990683</v>
      </c>
      <c r="N651" s="294">
        <v>0</v>
      </c>
      <c r="O651" s="294" t="str">
        <f t="shared" si="104"/>
        <v/>
      </c>
      <c r="P651" s="294"/>
    </row>
    <row r="652" spans="1:16">
      <c r="A652" s="294"/>
      <c r="B652" s="294" t="s">
        <v>570</v>
      </c>
      <c r="C652" s="294" t="s">
        <v>570</v>
      </c>
      <c r="D652" s="295" t="s">
        <v>1058</v>
      </c>
      <c r="E652" s="296">
        <v>3</v>
      </c>
      <c r="F652" s="294">
        <v>7</v>
      </c>
      <c r="G652" s="294">
        <v>12.6</v>
      </c>
      <c r="H652" s="294"/>
      <c r="I652" s="294"/>
      <c r="J652" s="294"/>
      <c r="K652" s="294">
        <f t="shared" si="97"/>
        <v>2.3319999999999999</v>
      </c>
      <c r="L652" s="294">
        <f t="shared" si="98"/>
        <v>0.50831255550801102</v>
      </c>
      <c r="M652" s="297">
        <f t="shared" si="105"/>
        <v>2.5104759906221847</v>
      </c>
      <c r="N652" s="294">
        <v>0</v>
      </c>
      <c r="O652" s="294" t="str">
        <f t="shared" si="104"/>
        <v/>
      </c>
      <c r="P652" s="294"/>
    </row>
    <row r="653" spans="1:16">
      <c r="A653" s="294"/>
      <c r="B653" s="294" t="s">
        <v>570</v>
      </c>
      <c r="C653" s="294" t="s">
        <v>570</v>
      </c>
      <c r="D653" s="295" t="s">
        <v>1058</v>
      </c>
      <c r="E653" s="296">
        <v>4</v>
      </c>
      <c r="F653" s="294">
        <v>12.1</v>
      </c>
      <c r="G653" s="294">
        <v>15.8</v>
      </c>
      <c r="H653" s="294"/>
      <c r="I653" s="294"/>
      <c r="J653" s="294"/>
      <c r="K653" s="294">
        <f t="shared" si="97"/>
        <v>2.2096</v>
      </c>
      <c r="L653" s="294">
        <f t="shared" si="98"/>
        <v>0.58001070845649794</v>
      </c>
      <c r="M653" s="297">
        <f t="shared" si="105"/>
        <v>3.6074404772803765</v>
      </c>
      <c r="N653" s="294">
        <v>0</v>
      </c>
      <c r="O653" s="294" t="str">
        <f t="shared" si="104"/>
        <v/>
      </c>
      <c r="P653" s="294"/>
    </row>
    <row r="654" spans="1:16">
      <c r="A654" s="294"/>
      <c r="B654" s="294" t="s">
        <v>570</v>
      </c>
      <c r="C654" s="294" t="s">
        <v>570</v>
      </c>
      <c r="D654" s="295" t="s">
        <v>1058</v>
      </c>
      <c r="E654" s="296">
        <v>5</v>
      </c>
      <c r="F654" s="294">
        <v>18.600000000000001</v>
      </c>
      <c r="G654" s="294">
        <v>22.1</v>
      </c>
      <c r="H654" s="294"/>
      <c r="I654" s="294"/>
      <c r="J654" s="294"/>
      <c r="K654" s="294">
        <f t="shared" si="97"/>
        <v>2.0535999999999999</v>
      </c>
      <c r="L654" s="294">
        <f t="shared" si="98"/>
        <v>0.66435336670543088</v>
      </c>
      <c r="M654" s="297">
        <f t="shared" si="105"/>
        <v>5.9580570527273036</v>
      </c>
      <c r="N654" s="294">
        <v>0</v>
      </c>
      <c r="O654" s="294" t="str">
        <f t="shared" si="104"/>
        <v/>
      </c>
      <c r="P654" s="294"/>
    </row>
    <row r="655" spans="1:16">
      <c r="A655" s="294"/>
      <c r="B655" s="294" t="s">
        <v>570</v>
      </c>
      <c r="C655" s="294" t="s">
        <v>570</v>
      </c>
      <c r="D655" s="295" t="s">
        <v>1058</v>
      </c>
      <c r="E655" s="296">
        <v>6</v>
      </c>
      <c r="F655" s="294">
        <v>21.2</v>
      </c>
      <c r="G655" s="294">
        <v>19</v>
      </c>
      <c r="H655" s="294"/>
      <c r="I655" s="294"/>
      <c r="J655" s="294"/>
      <c r="K655" s="294">
        <f t="shared" si="97"/>
        <v>1.9912000000000001</v>
      </c>
      <c r="L655" s="294">
        <f t="shared" si="98"/>
        <v>0.69489543911089335</v>
      </c>
      <c r="M655" s="297">
        <f t="shared" si="105"/>
        <v>5.5518237483189834</v>
      </c>
      <c r="N655" s="294">
        <v>0</v>
      </c>
      <c r="O655" s="294" t="str">
        <f t="shared" si="104"/>
        <v/>
      </c>
      <c r="P655" s="294"/>
    </row>
    <row r="656" spans="1:16">
      <c r="A656" s="294"/>
      <c r="B656" s="294" t="s">
        <v>570</v>
      </c>
      <c r="C656" s="294" t="s">
        <v>570</v>
      </c>
      <c r="D656" s="295" t="s">
        <v>1058</v>
      </c>
      <c r="E656" s="296">
        <v>7</v>
      </c>
      <c r="F656" s="294">
        <v>25.2</v>
      </c>
      <c r="G656" s="294">
        <v>18</v>
      </c>
      <c r="H656" s="294"/>
      <c r="I656" s="294"/>
      <c r="J656" s="294"/>
      <c r="K656" s="294">
        <f t="shared" si="97"/>
        <v>1.8952</v>
      </c>
      <c r="L656" s="294">
        <f t="shared" si="98"/>
        <v>0.73770227369576269</v>
      </c>
      <c r="M656" s="297">
        <f t="shared" si="105"/>
        <v>5.846057326650528</v>
      </c>
      <c r="N656" s="294">
        <v>1</v>
      </c>
      <c r="O656" s="294">
        <f t="shared" si="104"/>
        <v>5.846057326650528</v>
      </c>
      <c r="P656" s="294"/>
    </row>
    <row r="657" spans="1:16">
      <c r="A657" s="294"/>
      <c r="B657" s="294" t="s">
        <v>570</v>
      </c>
      <c r="C657" s="294" t="s">
        <v>570</v>
      </c>
      <c r="D657" s="295" t="s">
        <v>1058</v>
      </c>
      <c r="E657" s="296">
        <v>8</v>
      </c>
      <c r="F657" s="294">
        <v>25.8</v>
      </c>
      <c r="G657" s="294">
        <v>16.600000000000001</v>
      </c>
      <c r="H657" s="294"/>
      <c r="I657" s="294"/>
      <c r="J657" s="294"/>
      <c r="K657" s="294">
        <f t="shared" si="97"/>
        <v>1.8807999999999998</v>
      </c>
      <c r="L657" s="294">
        <f t="shared" si="98"/>
        <v>0.74366850574375487</v>
      </c>
      <c r="M657" s="297">
        <f t="shared" si="105"/>
        <v>5.4993314036347192</v>
      </c>
      <c r="N657" s="294">
        <v>0</v>
      </c>
      <c r="O657" s="294" t="str">
        <f t="shared" si="104"/>
        <v/>
      </c>
      <c r="P657" s="294"/>
    </row>
    <row r="658" spans="1:16">
      <c r="A658" s="294"/>
      <c r="B658" s="294" t="s">
        <v>570</v>
      </c>
      <c r="C658" s="294" t="s">
        <v>570</v>
      </c>
      <c r="D658" s="295" t="s">
        <v>1058</v>
      </c>
      <c r="E658" s="296">
        <v>9</v>
      </c>
      <c r="F658" s="294">
        <v>21.1</v>
      </c>
      <c r="G658" s="294">
        <v>12</v>
      </c>
      <c r="H658" s="294"/>
      <c r="I658" s="294"/>
      <c r="J658" s="294"/>
      <c r="K658" s="294">
        <f t="shared" si="97"/>
        <v>1.9935999999999998</v>
      </c>
      <c r="L658" s="294">
        <f t="shared" si="98"/>
        <v>0.69375912088466873</v>
      </c>
      <c r="M658" s="297">
        <f t="shared" si="105"/>
        <v>3.6297435292096449</v>
      </c>
      <c r="N658" s="294">
        <v>0</v>
      </c>
      <c r="O658" s="294" t="str">
        <f t="shared" si="104"/>
        <v/>
      </c>
      <c r="P658" s="294"/>
    </row>
    <row r="659" spans="1:16">
      <c r="A659" s="294"/>
      <c r="B659" s="294" t="s">
        <v>570</v>
      </c>
      <c r="C659" s="294" t="s">
        <v>570</v>
      </c>
      <c r="D659" s="295" t="s">
        <v>1058</v>
      </c>
      <c r="E659" s="296">
        <v>10</v>
      </c>
      <c r="F659" s="294">
        <v>15.8</v>
      </c>
      <c r="G659" s="294">
        <v>12.1</v>
      </c>
      <c r="H659" s="294"/>
      <c r="I659" s="294"/>
      <c r="J659" s="294"/>
      <c r="K659" s="294">
        <f t="shared" ref="K659:K913" si="106">2.5-0.024*F659</f>
        <v>2.1208</v>
      </c>
      <c r="L659" s="294">
        <f t="shared" ref="L659:L913" si="107">1/(1.05+1.4*EXP(-0.0604*F659))</f>
        <v>0.62928564442883417</v>
      </c>
      <c r="M659" s="297">
        <f t="shared" si="105"/>
        <v>3.1712226428763222</v>
      </c>
      <c r="N659" s="294">
        <v>0</v>
      </c>
      <c r="O659" s="294" t="str">
        <f t="shared" si="104"/>
        <v/>
      </c>
      <c r="P659" s="294"/>
    </row>
    <row r="660" spans="1:16">
      <c r="A660" s="294"/>
      <c r="B660" s="294" t="s">
        <v>570</v>
      </c>
      <c r="C660" s="294" t="s">
        <v>570</v>
      </c>
      <c r="D660" s="295" t="s">
        <v>1058</v>
      </c>
      <c r="E660" s="296">
        <v>11</v>
      </c>
      <c r="F660" s="294">
        <v>12.1</v>
      </c>
      <c r="G660" s="294">
        <v>5.7</v>
      </c>
      <c r="H660" s="294"/>
      <c r="I660" s="294"/>
      <c r="J660" s="294"/>
      <c r="K660" s="294">
        <f t="shared" si="106"/>
        <v>2.2096</v>
      </c>
      <c r="L660" s="294">
        <f t="shared" si="107"/>
        <v>0.58001070845649794</v>
      </c>
      <c r="M660" s="297">
        <f t="shared" si="105"/>
        <v>1.5315449823100091</v>
      </c>
      <c r="N660" s="294">
        <v>0</v>
      </c>
      <c r="O660" s="294" t="str">
        <f t="shared" si="104"/>
        <v/>
      </c>
      <c r="P660" s="294"/>
    </row>
    <row r="661" spans="1:16">
      <c r="A661" s="294"/>
      <c r="B661" s="294" t="s">
        <v>570</v>
      </c>
      <c r="C661" s="294" t="s">
        <v>570</v>
      </c>
      <c r="D661" s="295" t="s">
        <v>1058</v>
      </c>
      <c r="E661" s="296">
        <v>12</v>
      </c>
      <c r="F661" s="294">
        <v>7</v>
      </c>
      <c r="G661" s="294">
        <v>4.8</v>
      </c>
      <c r="H661" s="294"/>
      <c r="I661" s="294"/>
      <c r="J661" s="294"/>
      <c r="K661" s="294">
        <f t="shared" si="106"/>
        <v>2.3319999999999999</v>
      </c>
      <c r="L661" s="294">
        <f t="shared" si="107"/>
        <v>0.50831255550801102</v>
      </c>
      <c r="M661" s="297">
        <f t="shared" si="105"/>
        <v>1.1792289488084515</v>
      </c>
      <c r="N661" s="294">
        <v>0</v>
      </c>
      <c r="O661" s="294" t="str">
        <f t="shared" si="104"/>
        <v/>
      </c>
      <c r="P661" s="294"/>
    </row>
    <row r="662" spans="1:16">
      <c r="A662" s="294">
        <v>56</v>
      </c>
      <c r="B662" s="294" t="s">
        <v>320</v>
      </c>
      <c r="C662" s="294" t="s">
        <v>571</v>
      </c>
      <c r="D662" s="295" t="s">
        <v>1058</v>
      </c>
      <c r="E662" s="296">
        <v>1</v>
      </c>
      <c r="F662" s="294">
        <v>4.2</v>
      </c>
      <c r="G662" s="308">
        <f t="shared" ref="G662:G685" si="108">$T$11+$T$12*H662+INDEX($T$13:$T$24,MATCH(E662,$S$13:$S$24,0),1)</f>
        <v>3.3607038700000009</v>
      </c>
      <c r="H662" s="294">
        <v>29.9</v>
      </c>
      <c r="I662" s="306">
        <v>0.66</v>
      </c>
      <c r="J662" s="307">
        <v>0.86</v>
      </c>
      <c r="K662" s="294">
        <f t="shared" si="106"/>
        <v>2.3992</v>
      </c>
      <c r="L662" s="294">
        <f t="shared" si="107"/>
        <v>0.4680955245480542</v>
      </c>
      <c r="M662" s="309">
        <f>$I$662*L662*(G662/K662)+$J$662</f>
        <v>1.2927551229491896</v>
      </c>
      <c r="N662" s="294">
        <v>0</v>
      </c>
      <c r="O662" s="294" t="str">
        <f t="shared" si="104"/>
        <v/>
      </c>
      <c r="P662" s="294">
        <f>AVERAGE(O662:O673)</f>
        <v>5.5050699041270947</v>
      </c>
    </row>
    <row r="663" spans="1:16">
      <c r="A663" s="294"/>
      <c r="B663" s="294" t="s">
        <v>320</v>
      </c>
      <c r="C663" s="294" t="s">
        <v>571</v>
      </c>
      <c r="D663" s="295" t="s">
        <v>1058</v>
      </c>
      <c r="E663" s="296">
        <v>2</v>
      </c>
      <c r="F663" s="294">
        <v>4.7</v>
      </c>
      <c r="G663" s="308">
        <f t="shared" si="108"/>
        <v>7.2421141999999996</v>
      </c>
      <c r="H663" s="294">
        <v>62</v>
      </c>
      <c r="I663" s="297"/>
      <c r="J663" s="297"/>
      <c r="K663" s="294">
        <f t="shared" si="106"/>
        <v>2.3872</v>
      </c>
      <c r="L663" s="294">
        <f t="shared" si="107"/>
        <v>0.47528522193532502</v>
      </c>
      <c r="M663" s="309">
        <f t="shared" ref="M663:M673" si="109">$I$662*L663*(G663/K663)+$J$662</f>
        <v>1.8116446482014323</v>
      </c>
      <c r="N663" s="294">
        <v>0</v>
      </c>
      <c r="O663" s="294" t="str">
        <f t="shared" si="104"/>
        <v/>
      </c>
      <c r="P663" s="294"/>
    </row>
    <row r="664" spans="1:16">
      <c r="A664" s="294"/>
      <c r="B664" s="294" t="s">
        <v>320</v>
      </c>
      <c r="C664" s="294" t="s">
        <v>571</v>
      </c>
      <c r="D664" s="295" t="s">
        <v>1058</v>
      </c>
      <c r="E664" s="296">
        <v>3</v>
      </c>
      <c r="F664" s="294">
        <v>7.2</v>
      </c>
      <c r="G664" s="308">
        <f t="shared" si="108"/>
        <v>12.02463386</v>
      </c>
      <c r="H664" s="294">
        <v>131.19999999999999</v>
      </c>
      <c r="I664" s="297"/>
      <c r="J664" s="297"/>
      <c r="K664" s="294">
        <f t="shared" si="106"/>
        <v>2.3271999999999999</v>
      </c>
      <c r="L664" s="294">
        <f t="shared" si="107"/>
        <v>0.51117445743276591</v>
      </c>
      <c r="M664" s="309">
        <f t="shared" si="109"/>
        <v>2.6032161201790518</v>
      </c>
      <c r="N664" s="294">
        <v>0</v>
      </c>
      <c r="O664" s="294" t="str">
        <f t="shared" si="104"/>
        <v/>
      </c>
      <c r="P664" s="294"/>
    </row>
    <row r="665" spans="1:16">
      <c r="A665" s="294"/>
      <c r="B665" s="294" t="s">
        <v>320</v>
      </c>
      <c r="C665" s="294" t="s">
        <v>571</v>
      </c>
      <c r="D665" s="295" t="s">
        <v>1058</v>
      </c>
      <c r="E665" s="296">
        <v>4</v>
      </c>
      <c r="F665" s="294">
        <v>11.7</v>
      </c>
      <c r="G665" s="308">
        <f t="shared" si="108"/>
        <v>16.094657050000002</v>
      </c>
      <c r="H665" s="294">
        <v>178.5</v>
      </c>
      <c r="I665" s="297"/>
      <c r="J665" s="297"/>
      <c r="K665" s="294">
        <f t="shared" si="106"/>
        <v>2.2191999999999998</v>
      </c>
      <c r="L665" s="294">
        <f t="shared" si="107"/>
        <v>0.57451755988603115</v>
      </c>
      <c r="M665" s="309">
        <f t="shared" si="109"/>
        <v>3.6099989379394453</v>
      </c>
      <c r="N665" s="294">
        <v>0</v>
      </c>
      <c r="O665" s="294" t="str">
        <f t="shared" si="104"/>
        <v/>
      </c>
      <c r="P665" s="294"/>
    </row>
    <row r="666" spans="1:16">
      <c r="A666" s="294"/>
      <c r="B666" s="294" t="s">
        <v>320</v>
      </c>
      <c r="C666" s="294" t="s">
        <v>571</v>
      </c>
      <c r="D666" s="295" t="s">
        <v>1058</v>
      </c>
      <c r="E666" s="296">
        <v>5</v>
      </c>
      <c r="F666" s="294">
        <v>17.100000000000001</v>
      </c>
      <c r="G666" s="308">
        <f t="shared" si="108"/>
        <v>22.153441260000001</v>
      </c>
      <c r="H666" s="294">
        <v>272.2</v>
      </c>
      <c r="I666" s="297"/>
      <c r="J666" s="297"/>
      <c r="K666" s="294">
        <f t="shared" si="106"/>
        <v>2.0895999999999999</v>
      </c>
      <c r="L666" s="294">
        <f t="shared" si="107"/>
        <v>0.64583116355221615</v>
      </c>
      <c r="M666" s="309">
        <f t="shared" si="109"/>
        <v>5.3789857446960063</v>
      </c>
      <c r="N666" s="294">
        <v>0</v>
      </c>
      <c r="O666" s="294" t="str">
        <f t="shared" si="104"/>
        <v/>
      </c>
      <c r="P666" s="294"/>
    </row>
    <row r="667" spans="1:16">
      <c r="A667" s="294"/>
      <c r="B667" s="294" t="s">
        <v>320</v>
      </c>
      <c r="C667" s="294" t="s">
        <v>571</v>
      </c>
      <c r="D667" s="295" t="s">
        <v>1058</v>
      </c>
      <c r="E667" s="296">
        <v>6</v>
      </c>
      <c r="F667" s="294">
        <v>20.3</v>
      </c>
      <c r="G667" s="308">
        <f t="shared" si="108"/>
        <v>19.050790459999998</v>
      </c>
      <c r="H667" s="294">
        <v>202.2</v>
      </c>
      <c r="I667" s="297"/>
      <c r="J667" s="297"/>
      <c r="K667" s="294">
        <f t="shared" si="106"/>
        <v>2.0127999999999999</v>
      </c>
      <c r="L667" s="294">
        <f t="shared" si="107"/>
        <v>0.6845562077113948</v>
      </c>
      <c r="M667" s="309">
        <f t="shared" si="109"/>
        <v>5.1362730201675939</v>
      </c>
      <c r="N667" s="294">
        <v>0</v>
      </c>
      <c r="O667" s="294" t="str">
        <f t="shared" si="104"/>
        <v/>
      </c>
      <c r="P667" s="294"/>
    </row>
    <row r="668" spans="1:16">
      <c r="A668" s="294"/>
      <c r="B668" s="294" t="s">
        <v>320</v>
      </c>
      <c r="C668" s="294" t="s">
        <v>571</v>
      </c>
      <c r="D668" s="295" t="s">
        <v>1058</v>
      </c>
      <c r="E668" s="296">
        <v>7</v>
      </c>
      <c r="F668" s="294">
        <v>24.4</v>
      </c>
      <c r="G668" s="308">
        <f t="shared" si="108"/>
        <v>18.467984260000001</v>
      </c>
      <c r="H668" s="294">
        <v>198.2</v>
      </c>
      <c r="I668" s="297"/>
      <c r="J668" s="297"/>
      <c r="K668" s="294">
        <f t="shared" si="106"/>
        <v>1.9144000000000001</v>
      </c>
      <c r="L668" s="294">
        <f t="shared" si="107"/>
        <v>0.72956082949628098</v>
      </c>
      <c r="M668" s="309">
        <f t="shared" si="109"/>
        <v>5.5050699041270947</v>
      </c>
      <c r="N668" s="294">
        <v>1</v>
      </c>
      <c r="O668" s="294">
        <f t="shared" si="104"/>
        <v>5.5050699041270947</v>
      </c>
      <c r="P668" s="294"/>
    </row>
    <row r="669" spans="1:16">
      <c r="A669" s="294"/>
      <c r="B669" s="294" t="s">
        <v>320</v>
      </c>
      <c r="C669" s="294" t="s">
        <v>571</v>
      </c>
      <c r="D669" s="295" t="s">
        <v>1058</v>
      </c>
      <c r="E669" s="296">
        <v>8</v>
      </c>
      <c r="F669" s="294">
        <v>25.4</v>
      </c>
      <c r="G669" s="308">
        <f t="shared" si="108"/>
        <v>17.48400226</v>
      </c>
      <c r="H669" s="294">
        <v>193.2</v>
      </c>
      <c r="I669" s="297"/>
      <c r="J669" s="297"/>
      <c r="K669" s="294">
        <f t="shared" si="106"/>
        <v>1.8904000000000001</v>
      </c>
      <c r="L669" s="294">
        <f t="shared" si="107"/>
        <v>0.73970436015123497</v>
      </c>
      <c r="M669" s="309">
        <f t="shared" si="109"/>
        <v>5.3753275418147446</v>
      </c>
      <c r="N669" s="294">
        <v>0</v>
      </c>
      <c r="O669" s="294" t="str">
        <f t="shared" si="104"/>
        <v/>
      </c>
      <c r="P669" s="294"/>
    </row>
    <row r="670" spans="1:16">
      <c r="A670" s="294"/>
      <c r="B670" s="294" t="s">
        <v>320</v>
      </c>
      <c r="C670" s="294" t="s">
        <v>571</v>
      </c>
      <c r="D670" s="295" t="s">
        <v>1058</v>
      </c>
      <c r="E670" s="296">
        <v>9</v>
      </c>
      <c r="F670" s="294">
        <v>21</v>
      </c>
      <c r="G670" s="308">
        <f t="shared" si="108"/>
        <v>13.064969769999999</v>
      </c>
      <c r="H670" s="294">
        <v>134.9</v>
      </c>
      <c r="I670" s="297"/>
      <c r="J670" s="297"/>
      <c r="K670" s="294">
        <f t="shared" si="106"/>
        <v>1.996</v>
      </c>
      <c r="L670" s="294">
        <f t="shared" si="107"/>
        <v>0.69261966250512974</v>
      </c>
      <c r="M670" s="309">
        <f t="shared" si="109"/>
        <v>3.852172479361974</v>
      </c>
      <c r="N670" s="294">
        <v>0</v>
      </c>
      <c r="O670" s="294" t="str">
        <f t="shared" si="104"/>
        <v/>
      </c>
      <c r="P670" s="294"/>
    </row>
    <row r="671" spans="1:16">
      <c r="A671" s="294"/>
      <c r="B671" s="294" t="s">
        <v>320</v>
      </c>
      <c r="C671" s="294" t="s">
        <v>571</v>
      </c>
      <c r="D671" s="295" t="s">
        <v>1058</v>
      </c>
      <c r="E671" s="296">
        <v>10</v>
      </c>
      <c r="F671" s="294">
        <v>15.9</v>
      </c>
      <c r="G671" s="308">
        <f t="shared" si="108"/>
        <v>12.116709059999998</v>
      </c>
      <c r="H671" s="294">
        <v>180.2</v>
      </c>
      <c r="I671" s="297"/>
      <c r="J671" s="297"/>
      <c r="K671" s="294">
        <f t="shared" si="106"/>
        <v>2.1183999999999998</v>
      </c>
      <c r="L671" s="294">
        <f t="shared" si="107"/>
        <v>0.63057384037924924</v>
      </c>
      <c r="M671" s="309">
        <f t="shared" si="109"/>
        <v>3.2404364825890672</v>
      </c>
      <c r="N671" s="294">
        <v>0</v>
      </c>
      <c r="O671" s="294" t="str">
        <f t="shared" si="104"/>
        <v/>
      </c>
      <c r="P671" s="294"/>
    </row>
    <row r="672" spans="1:16">
      <c r="A672" s="294"/>
      <c r="B672" s="294" t="s">
        <v>320</v>
      </c>
      <c r="C672" s="294" t="s">
        <v>571</v>
      </c>
      <c r="D672" s="295" t="s">
        <v>1058</v>
      </c>
      <c r="E672" s="296">
        <v>11</v>
      </c>
      <c r="F672" s="294">
        <v>12.7</v>
      </c>
      <c r="G672" s="308">
        <f t="shared" si="108"/>
        <v>6.3171596700000006</v>
      </c>
      <c r="H672" s="294">
        <v>81.900000000000006</v>
      </c>
      <c r="I672" s="297"/>
      <c r="J672" s="297"/>
      <c r="K672" s="294">
        <f t="shared" si="106"/>
        <v>2.1951999999999998</v>
      </c>
      <c r="L672" s="294">
        <f t="shared" si="107"/>
        <v>0.58819589909700976</v>
      </c>
      <c r="M672" s="309">
        <f t="shared" si="109"/>
        <v>1.9771556540684738</v>
      </c>
      <c r="N672" s="294">
        <v>0</v>
      </c>
      <c r="O672" s="294" t="str">
        <f t="shared" si="104"/>
        <v/>
      </c>
      <c r="P672" s="294"/>
    </row>
    <row r="673" spans="1:16">
      <c r="A673" s="294"/>
      <c r="B673" s="294" t="s">
        <v>320</v>
      </c>
      <c r="C673" s="294" t="s">
        <v>571</v>
      </c>
      <c r="D673" s="295" t="s">
        <v>1058</v>
      </c>
      <c r="E673" s="296">
        <v>12</v>
      </c>
      <c r="F673" s="294">
        <v>8</v>
      </c>
      <c r="G673" s="308">
        <f t="shared" si="108"/>
        <v>4.6578274099999986</v>
      </c>
      <c r="H673" s="294">
        <v>73.7</v>
      </c>
      <c r="I673" s="297"/>
      <c r="J673" s="297"/>
      <c r="K673" s="294">
        <f t="shared" si="106"/>
        <v>2.3079999999999998</v>
      </c>
      <c r="L673" s="294">
        <f t="shared" si="107"/>
        <v>0.52259463248663729</v>
      </c>
      <c r="M673" s="309">
        <f t="shared" si="109"/>
        <v>1.5560756925129935</v>
      </c>
      <c r="N673" s="294">
        <v>0</v>
      </c>
      <c r="O673" s="294" t="str">
        <f t="shared" si="104"/>
        <v/>
      </c>
      <c r="P673" s="294"/>
    </row>
    <row r="674" spans="1:16">
      <c r="A674" s="294">
        <v>57</v>
      </c>
      <c r="B674" s="294" t="s">
        <v>320</v>
      </c>
      <c r="C674" s="294" t="s">
        <v>572</v>
      </c>
      <c r="D674" s="295" t="s">
        <v>1058</v>
      </c>
      <c r="E674" s="296">
        <v>1</v>
      </c>
      <c r="F674" s="294">
        <v>2.4</v>
      </c>
      <c r="G674" s="308">
        <f t="shared" si="108"/>
        <v>4.048045300000001</v>
      </c>
      <c r="H674" s="294">
        <v>45</v>
      </c>
      <c r="I674" s="306">
        <v>0.89100000000000001</v>
      </c>
      <c r="J674" s="307">
        <v>-0.26</v>
      </c>
      <c r="K674" s="294">
        <f t="shared" si="106"/>
        <v>2.4424000000000001</v>
      </c>
      <c r="L674" s="294">
        <f t="shared" si="107"/>
        <v>0.44226659545689245</v>
      </c>
      <c r="M674" s="309">
        <f>$I$674*L674*(G674/K674)+$J$674</f>
        <v>0.39311613775789034</v>
      </c>
      <c r="N674" s="294">
        <v>0</v>
      </c>
      <c r="O674" s="294" t="str">
        <f t="shared" si="104"/>
        <v/>
      </c>
      <c r="P674" s="294">
        <f>AVERAGE(O674:O685)</f>
        <v>5.9014965294349953</v>
      </c>
    </row>
    <row r="675" spans="1:16">
      <c r="A675" s="294"/>
      <c r="B675" s="294" t="s">
        <v>320</v>
      </c>
      <c r="C675" s="294" t="s">
        <v>572</v>
      </c>
      <c r="D675" s="295" t="s">
        <v>1058</v>
      </c>
      <c r="E675" s="296">
        <v>2</v>
      </c>
      <c r="F675" s="294">
        <v>3.2</v>
      </c>
      <c r="G675" s="308">
        <f t="shared" si="108"/>
        <v>7.8793843999999993</v>
      </c>
      <c r="H675" s="294">
        <v>76</v>
      </c>
      <c r="I675" s="297"/>
      <c r="J675" s="297"/>
      <c r="K675" s="294">
        <f t="shared" si="106"/>
        <v>2.4232</v>
      </c>
      <c r="L675" s="294">
        <f t="shared" si="107"/>
        <v>0.45373046962916019</v>
      </c>
      <c r="M675" s="309">
        <f t="shared" ref="M675:M685" si="110">$I$674*L675*(G675/K675)+$J$674</f>
        <v>1.0545547436129104</v>
      </c>
      <c r="N675" s="294">
        <v>0</v>
      </c>
      <c r="O675" s="294" t="str">
        <f t="shared" si="104"/>
        <v/>
      </c>
      <c r="P675" s="294"/>
    </row>
    <row r="676" spans="1:16">
      <c r="A676" s="294"/>
      <c r="B676" s="294" t="s">
        <v>320</v>
      </c>
      <c r="C676" s="294" t="s">
        <v>572</v>
      </c>
      <c r="D676" s="295" t="s">
        <v>1058</v>
      </c>
      <c r="E676" s="296">
        <v>3</v>
      </c>
      <c r="F676" s="294">
        <v>6.3</v>
      </c>
      <c r="G676" s="308">
        <f t="shared" si="108"/>
        <v>12.821221609999998</v>
      </c>
      <c r="H676" s="294">
        <v>148.69999999999999</v>
      </c>
      <c r="I676" s="297"/>
      <c r="J676" s="297"/>
      <c r="K676" s="294">
        <f t="shared" si="106"/>
        <v>2.3487999999999998</v>
      </c>
      <c r="L676" s="294">
        <f t="shared" si="107"/>
        <v>0.4982788821546576</v>
      </c>
      <c r="M676" s="309">
        <f t="shared" si="110"/>
        <v>2.1634471554725616</v>
      </c>
      <c r="N676" s="294">
        <v>0</v>
      </c>
      <c r="O676" s="294" t="str">
        <f t="shared" si="104"/>
        <v/>
      </c>
      <c r="P676" s="294"/>
    </row>
    <row r="677" spans="1:16">
      <c r="A677" s="294"/>
      <c r="B677" s="294" t="s">
        <v>320</v>
      </c>
      <c r="C677" s="294" t="s">
        <v>572</v>
      </c>
      <c r="D677" s="295" t="s">
        <v>1058</v>
      </c>
      <c r="E677" s="296">
        <v>4</v>
      </c>
      <c r="F677" s="294">
        <v>12.5</v>
      </c>
      <c r="G677" s="308">
        <f t="shared" si="108"/>
        <v>16.09920898</v>
      </c>
      <c r="H677" s="294">
        <v>178.6</v>
      </c>
      <c r="I677" s="297"/>
      <c r="J677" s="297"/>
      <c r="K677" s="294">
        <f t="shared" si="106"/>
        <v>2.2000000000000002</v>
      </c>
      <c r="L677" s="294">
        <f t="shared" si="107"/>
        <v>0.58547499969373429</v>
      </c>
      <c r="M677" s="309">
        <f t="shared" si="110"/>
        <v>3.5574021709171202</v>
      </c>
      <c r="N677" s="294">
        <v>0</v>
      </c>
      <c r="O677" s="294" t="str">
        <f t="shared" si="104"/>
        <v/>
      </c>
      <c r="P677" s="294"/>
    </row>
    <row r="678" spans="1:16">
      <c r="A678" s="294"/>
      <c r="B678" s="294" t="s">
        <v>320</v>
      </c>
      <c r="C678" s="294" t="s">
        <v>572</v>
      </c>
      <c r="D678" s="295" t="s">
        <v>1058</v>
      </c>
      <c r="E678" s="296">
        <v>5</v>
      </c>
      <c r="F678" s="294">
        <v>18.7</v>
      </c>
      <c r="G678" s="308">
        <f t="shared" si="108"/>
        <v>22.217168280000003</v>
      </c>
      <c r="H678" s="294">
        <v>273.60000000000002</v>
      </c>
      <c r="I678" s="297"/>
      <c r="J678" s="297"/>
      <c r="K678" s="294">
        <f t="shared" si="106"/>
        <v>2.0512000000000001</v>
      </c>
      <c r="L678" s="294">
        <f t="shared" si="107"/>
        <v>0.66556547157492041</v>
      </c>
      <c r="M678" s="309">
        <f t="shared" si="110"/>
        <v>6.1631665631112371</v>
      </c>
      <c r="N678" s="294">
        <v>0</v>
      </c>
      <c r="O678" s="294" t="str">
        <f t="shared" si="104"/>
        <v/>
      </c>
      <c r="P678" s="294"/>
    </row>
    <row r="679" spans="1:16">
      <c r="A679" s="294"/>
      <c r="B679" s="294" t="s">
        <v>320</v>
      </c>
      <c r="C679" s="294" t="s">
        <v>572</v>
      </c>
      <c r="D679" s="295" t="s">
        <v>1058</v>
      </c>
      <c r="E679" s="296">
        <v>6</v>
      </c>
      <c r="F679" s="294">
        <v>21.1</v>
      </c>
      <c r="G679" s="308">
        <f t="shared" si="108"/>
        <v>17.466718820000001</v>
      </c>
      <c r="H679" s="294">
        <v>167.4</v>
      </c>
      <c r="I679" s="297"/>
      <c r="J679" s="297"/>
      <c r="K679" s="294">
        <f t="shared" si="106"/>
        <v>1.9935999999999998</v>
      </c>
      <c r="L679" s="294">
        <f t="shared" si="107"/>
        <v>0.69375912088466873</v>
      </c>
      <c r="M679" s="309">
        <f t="shared" si="110"/>
        <v>5.1557637863828676</v>
      </c>
      <c r="N679" s="294">
        <v>0</v>
      </c>
      <c r="O679" s="294" t="str">
        <f t="shared" si="104"/>
        <v/>
      </c>
      <c r="P679" s="294"/>
    </row>
    <row r="680" spans="1:16">
      <c r="A680" s="294"/>
      <c r="B680" s="294" t="s">
        <v>320</v>
      </c>
      <c r="C680" s="294" t="s">
        <v>572</v>
      </c>
      <c r="D680" s="295" t="s">
        <v>1058</v>
      </c>
      <c r="E680" s="296">
        <v>7</v>
      </c>
      <c r="F680" s="294">
        <v>25.7</v>
      </c>
      <c r="G680" s="308">
        <f t="shared" si="108"/>
        <v>17.534838610000001</v>
      </c>
      <c r="H680" s="294">
        <v>177.7</v>
      </c>
      <c r="I680" s="297"/>
      <c r="J680" s="297"/>
      <c r="K680" s="294">
        <f t="shared" si="106"/>
        <v>1.8832</v>
      </c>
      <c r="L680" s="294">
        <f t="shared" si="107"/>
        <v>0.74268247605162208</v>
      </c>
      <c r="M680" s="309">
        <f t="shared" si="110"/>
        <v>5.9014965294349953</v>
      </c>
      <c r="N680" s="294">
        <v>1</v>
      </c>
      <c r="O680" s="294">
        <f t="shared" si="104"/>
        <v>5.9014965294349953</v>
      </c>
      <c r="P680" s="294"/>
    </row>
    <row r="681" spans="1:16">
      <c r="A681" s="294"/>
      <c r="B681" s="294" t="s">
        <v>320</v>
      </c>
      <c r="C681" s="294" t="s">
        <v>572</v>
      </c>
      <c r="D681" s="295" t="s">
        <v>1058</v>
      </c>
      <c r="E681" s="296">
        <v>8</v>
      </c>
      <c r="F681" s="294">
        <v>26</v>
      </c>
      <c r="G681" s="308">
        <f t="shared" si="108"/>
        <v>16.309604320000002</v>
      </c>
      <c r="H681" s="294">
        <v>167.4</v>
      </c>
      <c r="I681" s="297"/>
      <c r="J681" s="297"/>
      <c r="K681" s="294">
        <f t="shared" si="106"/>
        <v>1.8759999999999999</v>
      </c>
      <c r="L681" s="294">
        <f t="shared" si="107"/>
        <v>0.74563054537472673</v>
      </c>
      <c r="M681" s="309">
        <f t="shared" si="110"/>
        <v>5.5157978651893025</v>
      </c>
      <c r="N681" s="294">
        <v>0</v>
      </c>
      <c r="O681" s="294" t="str">
        <f t="shared" si="104"/>
        <v/>
      </c>
      <c r="P681" s="294"/>
    </row>
    <row r="682" spans="1:16">
      <c r="A682" s="294"/>
      <c r="B682" s="294" t="s">
        <v>320</v>
      </c>
      <c r="C682" s="294" t="s">
        <v>572</v>
      </c>
      <c r="D682" s="295" t="s">
        <v>1058</v>
      </c>
      <c r="E682" s="296">
        <v>9</v>
      </c>
      <c r="F682" s="294">
        <v>20.8</v>
      </c>
      <c r="G682" s="308">
        <f t="shared" si="108"/>
        <v>12.163687629999998</v>
      </c>
      <c r="H682" s="294">
        <v>115.1</v>
      </c>
      <c r="I682" s="297"/>
      <c r="J682" s="297"/>
      <c r="K682" s="294">
        <f t="shared" si="106"/>
        <v>2.0007999999999999</v>
      </c>
      <c r="L682" s="294">
        <f t="shared" si="107"/>
        <v>0.69033135678862079</v>
      </c>
      <c r="M682" s="309">
        <f t="shared" si="110"/>
        <v>3.4793566132483198</v>
      </c>
      <c r="N682" s="294">
        <v>0</v>
      </c>
      <c r="O682" s="294" t="str">
        <f t="shared" si="104"/>
        <v/>
      </c>
      <c r="P682" s="294"/>
    </row>
    <row r="683" spans="1:16">
      <c r="A683" s="294"/>
      <c r="B683" s="294" t="s">
        <v>320</v>
      </c>
      <c r="C683" s="294" t="s">
        <v>572</v>
      </c>
      <c r="D683" s="295" t="s">
        <v>1058</v>
      </c>
      <c r="E683" s="296">
        <v>10</v>
      </c>
      <c r="F683" s="294">
        <v>15.6</v>
      </c>
      <c r="G683" s="308">
        <f t="shared" si="108"/>
        <v>11.73889887</v>
      </c>
      <c r="H683" s="294">
        <v>171.9</v>
      </c>
      <c r="I683" s="297"/>
      <c r="J683" s="297"/>
      <c r="K683" s="294">
        <f t="shared" si="106"/>
        <v>2.1255999999999999</v>
      </c>
      <c r="L683" s="294">
        <f t="shared" si="107"/>
        <v>0.62670175707655418</v>
      </c>
      <c r="M683" s="309">
        <f t="shared" si="110"/>
        <v>2.8237874464828385</v>
      </c>
      <c r="N683" s="294">
        <v>0</v>
      </c>
      <c r="O683" s="294" t="str">
        <f t="shared" si="104"/>
        <v/>
      </c>
      <c r="P683" s="294"/>
    </row>
    <row r="684" spans="1:16">
      <c r="A684" s="294"/>
      <c r="B684" s="294" t="s">
        <v>320</v>
      </c>
      <c r="C684" s="294" t="s">
        <v>572</v>
      </c>
      <c r="D684" s="295" t="s">
        <v>1058</v>
      </c>
      <c r="E684" s="296">
        <v>11</v>
      </c>
      <c r="F684" s="294">
        <v>11.9</v>
      </c>
      <c r="G684" s="308">
        <f t="shared" si="108"/>
        <v>6.1305305399999988</v>
      </c>
      <c r="H684" s="294">
        <v>77.8</v>
      </c>
      <c r="I684" s="297"/>
      <c r="J684" s="297"/>
      <c r="K684" s="294">
        <f t="shared" si="106"/>
        <v>2.2143999999999999</v>
      </c>
      <c r="L684" s="294">
        <f t="shared" si="107"/>
        <v>0.57726765540955094</v>
      </c>
      <c r="M684" s="309">
        <f t="shared" si="110"/>
        <v>1.1639571347529898</v>
      </c>
      <c r="N684" s="294">
        <v>0</v>
      </c>
      <c r="O684" s="294" t="str">
        <f t="shared" si="104"/>
        <v/>
      </c>
      <c r="P684" s="294"/>
    </row>
    <row r="685" spans="1:16">
      <c r="A685" s="294"/>
      <c r="B685" s="294" t="s">
        <v>320</v>
      </c>
      <c r="C685" s="294" t="s">
        <v>572</v>
      </c>
      <c r="D685" s="295" t="s">
        <v>1058</v>
      </c>
      <c r="E685" s="296">
        <v>12</v>
      </c>
      <c r="F685" s="294">
        <v>6.6</v>
      </c>
      <c r="G685" s="308">
        <f t="shared" si="108"/>
        <v>4.8444565399999986</v>
      </c>
      <c r="H685" s="294">
        <v>77.8</v>
      </c>
      <c r="I685" s="297"/>
      <c r="J685" s="297"/>
      <c r="K685" s="294">
        <f t="shared" si="106"/>
        <v>2.3416000000000001</v>
      </c>
      <c r="L685" s="294">
        <f t="shared" si="107"/>
        <v>0.5025819590057089</v>
      </c>
      <c r="M685" s="309">
        <f t="shared" si="110"/>
        <v>0.66643926556558541</v>
      </c>
      <c r="N685" s="294">
        <v>0</v>
      </c>
      <c r="O685" s="294" t="str">
        <f t="shared" si="104"/>
        <v/>
      </c>
      <c r="P685" s="294"/>
    </row>
    <row r="686" spans="1:16">
      <c r="A686" s="294">
        <v>58</v>
      </c>
      <c r="B686" s="294" t="s">
        <v>323</v>
      </c>
      <c r="C686" s="294" t="s">
        <v>323</v>
      </c>
      <c r="D686" s="295" t="s">
        <v>1058</v>
      </c>
      <c r="E686" s="296">
        <v>1</v>
      </c>
      <c r="F686" s="294">
        <v>2.8</v>
      </c>
      <c r="G686" s="294">
        <v>5.2</v>
      </c>
      <c r="H686" s="294"/>
      <c r="I686" s="294">
        <v>0.85099999999999998</v>
      </c>
      <c r="J686" s="294">
        <v>0.13</v>
      </c>
      <c r="K686" s="294">
        <f t="shared" si="106"/>
        <v>2.4327999999999999</v>
      </c>
      <c r="L686" s="294">
        <f t="shared" si="107"/>
        <v>0.44799443281837215</v>
      </c>
      <c r="M686" s="297">
        <f>$I$686*L686*(G686/K686)+$J$686</f>
        <v>0.94489023516436221</v>
      </c>
      <c r="N686" s="294">
        <v>0</v>
      </c>
      <c r="O686" s="294" t="str">
        <f t="shared" si="104"/>
        <v/>
      </c>
      <c r="P686" s="294">
        <f>AVERAGE(O686:O697)</f>
        <v>6.2203872611769624</v>
      </c>
    </row>
    <row r="687" spans="1:16">
      <c r="A687" s="294"/>
      <c r="B687" s="294" t="s">
        <v>323</v>
      </c>
      <c r="C687" s="294" t="s">
        <v>323</v>
      </c>
      <c r="D687" s="295" t="s">
        <v>1058</v>
      </c>
      <c r="E687" s="296">
        <v>2</v>
      </c>
      <c r="F687" s="294">
        <v>3.8</v>
      </c>
      <c r="G687" s="294">
        <v>8.1999999999999993</v>
      </c>
      <c r="H687" s="294"/>
      <c r="I687" s="294"/>
      <c r="J687" s="294"/>
      <c r="K687" s="294">
        <f t="shared" si="106"/>
        <v>2.4087999999999998</v>
      </c>
      <c r="L687" s="294">
        <f t="shared" si="107"/>
        <v>0.46234626619550639</v>
      </c>
      <c r="M687" s="297">
        <f t="shared" ref="M687:M697" si="111">$I$686*L687*(G687/K687)+$J$686</f>
        <v>1.4693991675379783</v>
      </c>
      <c r="N687" s="294">
        <v>0</v>
      </c>
      <c r="O687" s="294" t="str">
        <f t="shared" si="104"/>
        <v/>
      </c>
      <c r="P687" s="294"/>
    </row>
    <row r="688" spans="1:16">
      <c r="A688" s="294"/>
      <c r="B688" s="294" t="s">
        <v>323</v>
      </c>
      <c r="C688" s="294" t="s">
        <v>323</v>
      </c>
      <c r="D688" s="295" t="s">
        <v>1058</v>
      </c>
      <c r="E688" s="296">
        <v>3</v>
      </c>
      <c r="F688" s="294">
        <v>7</v>
      </c>
      <c r="G688" s="294">
        <v>11.8</v>
      </c>
      <c r="H688" s="294"/>
      <c r="I688" s="294"/>
      <c r="J688" s="294"/>
      <c r="K688" s="294">
        <f t="shared" si="106"/>
        <v>2.3319999999999999</v>
      </c>
      <c r="L688" s="294">
        <f t="shared" si="107"/>
        <v>0.50831255550801102</v>
      </c>
      <c r="M688" s="297">
        <f t="shared" si="111"/>
        <v>2.3188392023586388</v>
      </c>
      <c r="N688" s="294">
        <v>0</v>
      </c>
      <c r="O688" s="294" t="str">
        <f t="shared" si="104"/>
        <v/>
      </c>
      <c r="P688" s="294"/>
    </row>
    <row r="689" spans="1:16">
      <c r="A689" s="294"/>
      <c r="B689" s="294" t="s">
        <v>323</v>
      </c>
      <c r="C689" s="294" t="s">
        <v>323</v>
      </c>
      <c r="D689" s="295" t="s">
        <v>1058</v>
      </c>
      <c r="E689" s="296">
        <v>4</v>
      </c>
      <c r="F689" s="294">
        <v>13.2</v>
      </c>
      <c r="G689" s="294">
        <v>14.6</v>
      </c>
      <c r="H689" s="294"/>
      <c r="I689" s="294"/>
      <c r="J689" s="294"/>
      <c r="K689" s="294">
        <f t="shared" si="106"/>
        <v>2.1832000000000003</v>
      </c>
      <c r="L689" s="294">
        <f t="shared" si="107"/>
        <v>0.59496401387711539</v>
      </c>
      <c r="M689" s="297">
        <f t="shared" si="111"/>
        <v>3.5159426011440114</v>
      </c>
      <c r="N689" s="294">
        <v>0</v>
      </c>
      <c r="O689" s="294" t="str">
        <f t="shared" si="104"/>
        <v/>
      </c>
      <c r="P689" s="294"/>
    </row>
    <row r="690" spans="1:16">
      <c r="A690" s="294"/>
      <c r="B690" s="294" t="s">
        <v>323</v>
      </c>
      <c r="C690" s="294" t="s">
        <v>323</v>
      </c>
      <c r="D690" s="295" t="s">
        <v>1058</v>
      </c>
      <c r="E690" s="296">
        <v>5</v>
      </c>
      <c r="F690" s="294">
        <v>19.600000000000001</v>
      </c>
      <c r="G690" s="294">
        <v>21.8</v>
      </c>
      <c r="H690" s="294"/>
      <c r="I690" s="294"/>
      <c r="J690" s="294"/>
      <c r="K690" s="294">
        <f t="shared" si="106"/>
        <v>2.0295999999999998</v>
      </c>
      <c r="L690" s="294">
        <f t="shared" si="107"/>
        <v>0.67634220580418636</v>
      </c>
      <c r="M690" s="297">
        <f t="shared" si="111"/>
        <v>6.3121863094393493</v>
      </c>
      <c r="N690" s="294">
        <v>0</v>
      </c>
      <c r="O690" s="294" t="str">
        <f t="shared" si="104"/>
        <v/>
      </c>
      <c r="P690" s="294"/>
    </row>
    <row r="691" spans="1:16">
      <c r="A691" s="294"/>
      <c r="B691" s="294" t="s">
        <v>323</v>
      </c>
      <c r="C691" s="294" t="s">
        <v>323</v>
      </c>
      <c r="D691" s="295" t="s">
        <v>1058</v>
      </c>
      <c r="E691" s="296">
        <v>6</v>
      </c>
      <c r="F691" s="294">
        <v>21.4</v>
      </c>
      <c r="G691" s="294">
        <v>18</v>
      </c>
      <c r="H691" s="294"/>
      <c r="I691" s="294"/>
      <c r="J691" s="294"/>
      <c r="K691" s="294">
        <f t="shared" si="106"/>
        <v>1.9864000000000002</v>
      </c>
      <c r="L691" s="294">
        <f t="shared" si="107"/>
        <v>0.69715862454510524</v>
      </c>
      <c r="M691" s="297">
        <f t="shared" si="111"/>
        <v>5.5060953537967787</v>
      </c>
      <c r="N691" s="294">
        <v>0</v>
      </c>
      <c r="O691" s="294" t="str">
        <f t="shared" si="104"/>
        <v/>
      </c>
      <c r="P691" s="294"/>
    </row>
    <row r="692" spans="1:16">
      <c r="A692" s="294"/>
      <c r="B692" s="294" t="s">
        <v>323</v>
      </c>
      <c r="C692" s="294" t="s">
        <v>323</v>
      </c>
      <c r="D692" s="295" t="s">
        <v>1058</v>
      </c>
      <c r="E692" s="296">
        <v>7</v>
      </c>
      <c r="F692" s="294">
        <v>25.8</v>
      </c>
      <c r="G692" s="294">
        <v>18.100000000000001</v>
      </c>
      <c r="H692" s="294"/>
      <c r="I692" s="294"/>
      <c r="J692" s="294"/>
      <c r="K692" s="294">
        <f t="shared" si="106"/>
        <v>1.8807999999999998</v>
      </c>
      <c r="L692" s="294">
        <f t="shared" si="107"/>
        <v>0.74366850574375487</v>
      </c>
      <c r="M692" s="297">
        <f t="shared" si="111"/>
        <v>6.2203872611769624</v>
      </c>
      <c r="N692" s="294">
        <v>1</v>
      </c>
      <c r="O692" s="294">
        <f t="shared" si="104"/>
        <v>6.2203872611769624</v>
      </c>
      <c r="P692" s="294"/>
    </row>
    <row r="693" spans="1:16">
      <c r="A693" s="294"/>
      <c r="B693" s="294" t="s">
        <v>323</v>
      </c>
      <c r="C693" s="294" t="s">
        <v>323</v>
      </c>
      <c r="D693" s="295" t="s">
        <v>1058</v>
      </c>
      <c r="E693" s="296">
        <v>8</v>
      </c>
      <c r="F693" s="294">
        <v>26.7</v>
      </c>
      <c r="G693" s="294">
        <v>17.3</v>
      </c>
      <c r="H693" s="294"/>
      <c r="I693" s="294"/>
      <c r="J693" s="294"/>
      <c r="K693" s="294">
        <f t="shared" si="106"/>
        <v>1.8592</v>
      </c>
      <c r="L693" s="294">
        <f t="shared" si="107"/>
        <v>0.75239240916315608</v>
      </c>
      <c r="M693" s="297">
        <f t="shared" si="111"/>
        <v>6.0879102653951875</v>
      </c>
      <c r="N693" s="294">
        <v>0</v>
      </c>
      <c r="O693" s="294" t="str">
        <f t="shared" si="104"/>
        <v/>
      </c>
      <c r="P693" s="294"/>
    </row>
    <row r="694" spans="1:16">
      <c r="A694" s="294"/>
      <c r="B694" s="294" t="s">
        <v>323</v>
      </c>
      <c r="C694" s="294" t="s">
        <v>323</v>
      </c>
      <c r="D694" s="295" t="s">
        <v>1058</v>
      </c>
      <c r="E694" s="296">
        <v>9</v>
      </c>
      <c r="F694" s="294">
        <v>21.3</v>
      </c>
      <c r="G694" s="294">
        <v>12.5</v>
      </c>
      <c r="H694" s="294"/>
      <c r="I694" s="294"/>
      <c r="J694" s="294"/>
      <c r="K694" s="294">
        <f t="shared" si="106"/>
        <v>1.9887999999999999</v>
      </c>
      <c r="L694" s="294">
        <f t="shared" si="107"/>
        <v>0.69602860950497947</v>
      </c>
      <c r="M694" s="297">
        <f t="shared" si="111"/>
        <v>3.8528501275187148</v>
      </c>
      <c r="N694" s="294">
        <v>0</v>
      </c>
      <c r="O694" s="294" t="str">
        <f t="shared" si="104"/>
        <v/>
      </c>
      <c r="P694" s="294"/>
    </row>
    <row r="695" spans="1:16">
      <c r="A695" s="294"/>
      <c r="B695" s="294" t="s">
        <v>323</v>
      </c>
      <c r="C695" s="294" t="s">
        <v>323</v>
      </c>
      <c r="D695" s="295" t="s">
        <v>1058</v>
      </c>
      <c r="E695" s="296">
        <v>10</v>
      </c>
      <c r="F695" s="294">
        <v>16.3</v>
      </c>
      <c r="G695" s="294">
        <v>12.2</v>
      </c>
      <c r="H695" s="294"/>
      <c r="I695" s="294"/>
      <c r="J695" s="294"/>
      <c r="K695" s="294">
        <f t="shared" si="106"/>
        <v>2.1088</v>
      </c>
      <c r="L695" s="294">
        <f t="shared" si="107"/>
        <v>0.63570126432395468</v>
      </c>
      <c r="M695" s="297">
        <f t="shared" si="111"/>
        <v>3.2597314427466624</v>
      </c>
      <c r="N695" s="294">
        <v>0</v>
      </c>
      <c r="O695" s="294" t="str">
        <f t="shared" si="104"/>
        <v/>
      </c>
      <c r="P695" s="294"/>
    </row>
    <row r="696" spans="1:16">
      <c r="A696" s="294"/>
      <c r="B696" s="294" t="s">
        <v>323</v>
      </c>
      <c r="C696" s="294" t="s">
        <v>323</v>
      </c>
      <c r="D696" s="295" t="s">
        <v>1058</v>
      </c>
      <c r="E696" s="296">
        <v>11</v>
      </c>
      <c r="F696" s="294">
        <v>12.7</v>
      </c>
      <c r="G696" s="294">
        <v>5.8</v>
      </c>
      <c r="H696" s="294"/>
      <c r="I696" s="294"/>
      <c r="J696" s="294"/>
      <c r="K696" s="294">
        <f t="shared" si="106"/>
        <v>2.1951999999999998</v>
      </c>
      <c r="L696" s="294">
        <f t="shared" si="107"/>
        <v>0.58819589909700976</v>
      </c>
      <c r="M696" s="297">
        <f t="shared" si="111"/>
        <v>1.452529755267411</v>
      </c>
      <c r="N696" s="294">
        <v>0</v>
      </c>
      <c r="O696" s="294" t="str">
        <f t="shared" si="104"/>
        <v/>
      </c>
      <c r="P696" s="294"/>
    </row>
    <row r="697" spans="1:16">
      <c r="A697" s="294"/>
      <c r="B697" s="294" t="s">
        <v>323</v>
      </c>
      <c r="C697" s="294" t="s">
        <v>323</v>
      </c>
      <c r="D697" s="295" t="s">
        <v>1058</v>
      </c>
      <c r="E697" s="296">
        <v>12</v>
      </c>
      <c r="F697" s="294">
        <v>7.3</v>
      </c>
      <c r="G697" s="294">
        <v>5.3</v>
      </c>
      <c r="H697" s="294"/>
      <c r="I697" s="294"/>
      <c r="J697" s="294"/>
      <c r="K697" s="294">
        <f t="shared" si="106"/>
        <v>2.3248000000000002</v>
      </c>
      <c r="L697" s="294">
        <f t="shared" si="107"/>
        <v>0.5126044692087397</v>
      </c>
      <c r="M697" s="297">
        <f t="shared" si="111"/>
        <v>1.1244941231384111</v>
      </c>
      <c r="N697" s="294">
        <v>0</v>
      </c>
      <c r="O697" s="294" t="str">
        <f t="shared" si="104"/>
        <v/>
      </c>
      <c r="P697" s="294"/>
    </row>
    <row r="698" spans="1:16">
      <c r="A698" s="294">
        <v>59</v>
      </c>
      <c r="B698" s="294" t="s">
        <v>573</v>
      </c>
      <c r="C698" s="294" t="s">
        <v>574</v>
      </c>
      <c r="D698" s="295" t="s">
        <v>1056</v>
      </c>
      <c r="E698" s="296">
        <v>1</v>
      </c>
      <c r="F698" s="294">
        <v>2.5</v>
      </c>
      <c r="G698" s="308">
        <f t="shared" ref="G698:G733" si="112">$T$11+$T$12*H698+INDEX($T$13:$T$24,MATCH(E698,$S$13:$S$24,0),1)</f>
        <v>4.4076477700000014</v>
      </c>
      <c r="H698" s="294">
        <v>52.9</v>
      </c>
      <c r="I698" s="306">
        <v>0.94199999999999995</v>
      </c>
      <c r="J698" s="307">
        <v>-0.05</v>
      </c>
      <c r="K698" s="294">
        <f t="shared" si="106"/>
        <v>2.44</v>
      </c>
      <c r="L698" s="294">
        <f t="shared" si="107"/>
        <v>0.44369769567681572</v>
      </c>
      <c r="M698" s="309">
        <f>$I$698*L698*(G698/K698)+$J$698</f>
        <v>0.70501421954410681</v>
      </c>
      <c r="N698" s="294">
        <v>0</v>
      </c>
      <c r="O698" s="294" t="str">
        <f t="shared" si="104"/>
        <v/>
      </c>
      <c r="P698" s="294">
        <f>AVERAGE(O698:O709)</f>
        <v>6.5464291703500495</v>
      </c>
    </row>
    <row r="699" spans="1:16">
      <c r="A699" s="294"/>
      <c r="B699" s="294" t="s">
        <v>573</v>
      </c>
      <c r="C699" s="294" t="s">
        <v>574</v>
      </c>
      <c r="D699" s="295" t="s">
        <v>1056</v>
      </c>
      <c r="E699" s="296">
        <v>2</v>
      </c>
      <c r="F699" s="294">
        <v>3.5</v>
      </c>
      <c r="G699" s="308">
        <f t="shared" si="112"/>
        <v>7.5243338600000005</v>
      </c>
      <c r="H699" s="294">
        <v>68.2</v>
      </c>
      <c r="I699" s="297"/>
      <c r="J699" s="297"/>
      <c r="K699" s="294">
        <f t="shared" si="106"/>
        <v>2.4159999999999999</v>
      </c>
      <c r="L699" s="294">
        <f t="shared" si="107"/>
        <v>0.45803688004667531</v>
      </c>
      <c r="M699" s="309">
        <f t="shared" ref="M699:M709" si="113">$I$698*L699*(G699/K699)+$J$698</f>
        <v>1.2937623783673211</v>
      </c>
      <c r="N699" s="294">
        <v>0</v>
      </c>
      <c r="O699" s="294" t="str">
        <f t="shared" si="104"/>
        <v/>
      </c>
      <c r="P699" s="294"/>
    </row>
    <row r="700" spans="1:16">
      <c r="A700" s="294"/>
      <c r="B700" s="294" t="s">
        <v>573</v>
      </c>
      <c r="C700" s="294" t="s">
        <v>574</v>
      </c>
      <c r="D700" s="295" t="s">
        <v>1056</v>
      </c>
      <c r="E700" s="296">
        <v>3</v>
      </c>
      <c r="F700" s="294">
        <v>6.9</v>
      </c>
      <c r="G700" s="308">
        <f t="shared" si="112"/>
        <v>12.507138440000002</v>
      </c>
      <c r="H700" s="294">
        <v>141.80000000000001</v>
      </c>
      <c r="I700" s="297"/>
      <c r="J700" s="297"/>
      <c r="K700" s="294">
        <f t="shared" si="106"/>
        <v>2.3344</v>
      </c>
      <c r="L700" s="294">
        <f t="shared" si="107"/>
        <v>0.50688071678429469</v>
      </c>
      <c r="M700" s="309">
        <f t="shared" si="113"/>
        <v>2.5082286301144299</v>
      </c>
      <c r="N700" s="294">
        <v>0</v>
      </c>
      <c r="O700" s="294" t="str">
        <f t="shared" si="104"/>
        <v/>
      </c>
      <c r="P700" s="294"/>
    </row>
    <row r="701" spans="1:16">
      <c r="A701" s="294"/>
      <c r="B701" s="294" t="s">
        <v>573</v>
      </c>
      <c r="C701" s="294" t="s">
        <v>574</v>
      </c>
      <c r="D701" s="295" t="s">
        <v>1056</v>
      </c>
      <c r="E701" s="296">
        <v>4</v>
      </c>
      <c r="F701" s="294">
        <v>12.6</v>
      </c>
      <c r="G701" s="308">
        <f t="shared" si="112"/>
        <v>15.65311984</v>
      </c>
      <c r="H701" s="294">
        <v>168.8</v>
      </c>
      <c r="I701" s="297"/>
      <c r="J701" s="297"/>
      <c r="K701" s="294">
        <f t="shared" si="106"/>
        <v>2.1976</v>
      </c>
      <c r="L701" s="294">
        <f t="shared" si="107"/>
        <v>0.58683640404243798</v>
      </c>
      <c r="M701" s="309">
        <f t="shared" si="113"/>
        <v>3.8874967994775158</v>
      </c>
      <c r="N701" s="294">
        <v>0</v>
      </c>
      <c r="O701" s="294" t="str">
        <f t="shared" si="104"/>
        <v/>
      </c>
      <c r="P701" s="294"/>
    </row>
    <row r="702" spans="1:16">
      <c r="A702" s="294"/>
      <c r="B702" s="294" t="s">
        <v>573</v>
      </c>
      <c r="C702" s="294" t="s">
        <v>574</v>
      </c>
      <c r="D702" s="295" t="s">
        <v>1056</v>
      </c>
      <c r="E702" s="296">
        <v>5</v>
      </c>
      <c r="F702" s="294">
        <v>18.8</v>
      </c>
      <c r="G702" s="308">
        <f t="shared" si="112"/>
        <v>22.262687580000001</v>
      </c>
      <c r="H702" s="294">
        <v>274.60000000000002</v>
      </c>
      <c r="I702" s="297"/>
      <c r="J702" s="297"/>
      <c r="K702" s="294">
        <f t="shared" si="106"/>
        <v>2.0488</v>
      </c>
      <c r="L702" s="294">
        <f t="shared" si="107"/>
        <v>0.66677466843060351</v>
      </c>
      <c r="M702" s="309">
        <f t="shared" si="113"/>
        <v>6.7750843196095056</v>
      </c>
      <c r="N702" s="294">
        <v>0</v>
      </c>
      <c r="O702" s="294" t="str">
        <f t="shared" si="104"/>
        <v/>
      </c>
      <c r="P702" s="294"/>
    </row>
    <row r="703" spans="1:16">
      <c r="A703" s="294"/>
      <c r="B703" s="294" t="s">
        <v>573</v>
      </c>
      <c r="C703" s="294" t="s">
        <v>574</v>
      </c>
      <c r="D703" s="295" t="s">
        <v>1056</v>
      </c>
      <c r="E703" s="296">
        <v>6</v>
      </c>
      <c r="F703" s="294">
        <v>20.9</v>
      </c>
      <c r="G703" s="308">
        <f t="shared" si="112"/>
        <v>17.157187579999999</v>
      </c>
      <c r="H703" s="294">
        <v>160.6</v>
      </c>
      <c r="I703" s="297"/>
      <c r="J703" s="297"/>
      <c r="K703" s="294">
        <f t="shared" si="106"/>
        <v>1.9984000000000002</v>
      </c>
      <c r="L703" s="294">
        <f t="shared" si="107"/>
        <v>0.69147707180847306</v>
      </c>
      <c r="M703" s="309">
        <f t="shared" si="113"/>
        <v>5.5423245207398155</v>
      </c>
      <c r="N703" s="294">
        <v>0</v>
      </c>
      <c r="O703" s="294" t="str">
        <f t="shared" si="104"/>
        <v/>
      </c>
      <c r="P703" s="294"/>
    </row>
    <row r="704" spans="1:16">
      <c r="A704" s="294"/>
      <c r="B704" s="294" t="s">
        <v>573</v>
      </c>
      <c r="C704" s="294" t="s">
        <v>574</v>
      </c>
      <c r="D704" s="295" t="s">
        <v>1056</v>
      </c>
      <c r="E704" s="296">
        <v>7</v>
      </c>
      <c r="F704" s="294">
        <v>25.2</v>
      </c>
      <c r="G704" s="308">
        <f t="shared" si="112"/>
        <v>17.990031609999996</v>
      </c>
      <c r="H704" s="294">
        <v>187.7</v>
      </c>
      <c r="I704" s="297"/>
      <c r="J704" s="297"/>
      <c r="K704" s="294">
        <f t="shared" si="106"/>
        <v>1.8952</v>
      </c>
      <c r="L704" s="294">
        <f t="shared" si="107"/>
        <v>0.73770227369576269</v>
      </c>
      <c r="M704" s="309">
        <f t="shared" si="113"/>
        <v>6.5464291703500495</v>
      </c>
      <c r="N704" s="294">
        <v>1</v>
      </c>
      <c r="O704" s="294">
        <f t="shared" si="104"/>
        <v>6.5464291703500495</v>
      </c>
      <c r="P704" s="294"/>
    </row>
    <row r="705" spans="1:16">
      <c r="A705" s="294"/>
      <c r="B705" s="294" t="s">
        <v>573</v>
      </c>
      <c r="C705" s="294" t="s">
        <v>574</v>
      </c>
      <c r="D705" s="295" t="s">
        <v>1056</v>
      </c>
      <c r="E705" s="296">
        <v>8</v>
      </c>
      <c r="F705" s="294">
        <v>26.5</v>
      </c>
      <c r="G705" s="308">
        <f t="shared" si="112"/>
        <v>17.565937000000002</v>
      </c>
      <c r="H705" s="294">
        <v>195</v>
      </c>
      <c r="I705" s="297"/>
      <c r="J705" s="297"/>
      <c r="K705" s="294">
        <f t="shared" si="106"/>
        <v>1.8639999999999999</v>
      </c>
      <c r="L705" s="294">
        <f t="shared" si="107"/>
        <v>0.75047716295715017</v>
      </c>
      <c r="M705" s="309">
        <f t="shared" si="113"/>
        <v>6.6121406436192496</v>
      </c>
      <c r="N705" s="294">
        <v>0</v>
      </c>
      <c r="O705" s="294" t="str">
        <f t="shared" si="104"/>
        <v/>
      </c>
      <c r="P705" s="294"/>
    </row>
    <row r="706" spans="1:16">
      <c r="A706" s="294"/>
      <c r="B706" s="294" t="s">
        <v>573</v>
      </c>
      <c r="C706" s="294" t="s">
        <v>574</v>
      </c>
      <c r="D706" s="295" t="s">
        <v>1056</v>
      </c>
      <c r="E706" s="296">
        <v>9</v>
      </c>
      <c r="F706" s="294">
        <v>21.3</v>
      </c>
      <c r="G706" s="308">
        <f t="shared" si="112"/>
        <v>12.882892569999999</v>
      </c>
      <c r="H706" s="294">
        <v>130.9</v>
      </c>
      <c r="I706" s="297"/>
      <c r="J706" s="297"/>
      <c r="K706" s="294">
        <f t="shared" si="106"/>
        <v>1.9887999999999999</v>
      </c>
      <c r="L706" s="294">
        <f t="shared" si="107"/>
        <v>0.69602860950497947</v>
      </c>
      <c r="M706" s="309">
        <f t="shared" si="113"/>
        <v>4.1971760948255135</v>
      </c>
      <c r="N706" s="294">
        <v>0</v>
      </c>
      <c r="O706" s="294" t="str">
        <f t="shared" ref="O706:O769" si="114">IF(N706*M706=0,"",N706*M706)</f>
        <v/>
      </c>
      <c r="P706" s="294"/>
    </row>
    <row r="707" spans="1:16">
      <c r="A707" s="294"/>
      <c r="B707" s="294" t="s">
        <v>573</v>
      </c>
      <c r="C707" s="294" t="s">
        <v>574</v>
      </c>
      <c r="D707" s="295" t="s">
        <v>1056</v>
      </c>
      <c r="E707" s="296">
        <v>10</v>
      </c>
      <c r="F707" s="294">
        <v>16.3</v>
      </c>
      <c r="G707" s="308">
        <f t="shared" si="112"/>
        <v>12.235059239999998</v>
      </c>
      <c r="H707" s="294">
        <v>182.8</v>
      </c>
      <c r="I707" s="297"/>
      <c r="J707" s="297"/>
      <c r="K707" s="294">
        <f t="shared" si="106"/>
        <v>2.1088</v>
      </c>
      <c r="L707" s="294">
        <f t="shared" si="107"/>
        <v>0.63570126432395468</v>
      </c>
      <c r="M707" s="309">
        <f t="shared" si="113"/>
        <v>3.4243587611559119</v>
      </c>
      <c r="N707" s="294">
        <v>0</v>
      </c>
      <c r="O707" s="294" t="str">
        <f t="shared" si="114"/>
        <v/>
      </c>
      <c r="P707" s="294"/>
    </row>
    <row r="708" spans="1:16">
      <c r="A708" s="294"/>
      <c r="B708" s="294" t="s">
        <v>573</v>
      </c>
      <c r="C708" s="294" t="s">
        <v>574</v>
      </c>
      <c r="D708" s="295" t="s">
        <v>1056</v>
      </c>
      <c r="E708" s="296">
        <v>11</v>
      </c>
      <c r="F708" s="294">
        <v>12.9</v>
      </c>
      <c r="G708" s="308">
        <f t="shared" si="112"/>
        <v>6.2352249299999993</v>
      </c>
      <c r="H708" s="294">
        <v>80.099999999999994</v>
      </c>
      <c r="I708" s="297"/>
      <c r="J708" s="297"/>
      <c r="K708" s="294">
        <f t="shared" si="106"/>
        <v>2.1903999999999999</v>
      </c>
      <c r="L708" s="294">
        <f t="shared" si="107"/>
        <v>0.5909090785245259</v>
      </c>
      <c r="M708" s="309">
        <f t="shared" si="113"/>
        <v>1.5345292452283799</v>
      </c>
      <c r="N708" s="294">
        <v>0</v>
      </c>
      <c r="O708" s="294" t="str">
        <f t="shared" si="114"/>
        <v/>
      </c>
      <c r="P708" s="294"/>
    </row>
    <row r="709" spans="1:16">
      <c r="A709" s="294"/>
      <c r="B709" s="294" t="s">
        <v>573</v>
      </c>
      <c r="C709" s="294" t="s">
        <v>574</v>
      </c>
      <c r="D709" s="295" t="s">
        <v>1056</v>
      </c>
      <c r="E709" s="296">
        <v>12</v>
      </c>
      <c r="F709" s="294">
        <v>7.3</v>
      </c>
      <c r="G709" s="308">
        <f t="shared" si="112"/>
        <v>4.9992221599999995</v>
      </c>
      <c r="H709" s="294">
        <v>81.2</v>
      </c>
      <c r="I709" s="297"/>
      <c r="J709" s="297"/>
      <c r="K709" s="294">
        <f t="shared" si="106"/>
        <v>2.3248000000000002</v>
      </c>
      <c r="L709" s="294">
        <f t="shared" si="107"/>
        <v>0.5126044692087397</v>
      </c>
      <c r="M709" s="309">
        <f t="shared" si="113"/>
        <v>0.98836521495179497</v>
      </c>
      <c r="N709" s="294">
        <v>0</v>
      </c>
      <c r="O709" s="294" t="str">
        <f t="shared" si="114"/>
        <v/>
      </c>
      <c r="P709" s="294"/>
    </row>
    <row r="710" spans="1:16">
      <c r="A710" s="294">
        <v>60</v>
      </c>
      <c r="B710" s="294" t="s">
        <v>325</v>
      </c>
      <c r="C710" s="294" t="s">
        <v>575</v>
      </c>
      <c r="D710" s="295" t="s">
        <v>1056</v>
      </c>
      <c r="E710" s="296">
        <v>1</v>
      </c>
      <c r="F710" s="294">
        <v>3.9</v>
      </c>
      <c r="G710" s="308">
        <f t="shared" si="112"/>
        <v>1.9996768000000005</v>
      </c>
      <c r="H710" s="308"/>
      <c r="I710" s="306">
        <v>0.89700000000000002</v>
      </c>
      <c r="J710" s="307">
        <v>0.23</v>
      </c>
      <c r="K710" s="294">
        <f t="shared" si="106"/>
        <v>2.4064000000000001</v>
      </c>
      <c r="L710" s="294">
        <f t="shared" si="107"/>
        <v>0.46378326771227446</v>
      </c>
      <c r="M710" s="309">
        <f>$I$710*L710*(G710/K710)+$J$710</f>
        <v>0.57570010251128856</v>
      </c>
      <c r="N710" s="294">
        <v>0</v>
      </c>
      <c r="O710" s="294" t="str">
        <f t="shared" si="114"/>
        <v/>
      </c>
      <c r="P710" s="294">
        <f>AVERAGE(O710:O721)</f>
        <v>3.6064320726585373</v>
      </c>
    </row>
    <row r="711" spans="1:16">
      <c r="A711" s="294"/>
      <c r="B711" s="294" t="s">
        <v>325</v>
      </c>
      <c r="C711" s="294" t="s">
        <v>575</v>
      </c>
      <c r="D711" s="295" t="s">
        <v>1056</v>
      </c>
      <c r="E711" s="296">
        <v>2</v>
      </c>
      <c r="F711" s="294">
        <v>4.8</v>
      </c>
      <c r="G711" s="308">
        <f t="shared" si="112"/>
        <v>4.4199175999999998</v>
      </c>
      <c r="H711" s="308"/>
      <c r="I711" s="294"/>
      <c r="J711" s="294"/>
      <c r="K711" s="294">
        <f t="shared" si="106"/>
        <v>2.3847999999999998</v>
      </c>
      <c r="L711" s="294">
        <f t="shared" si="107"/>
        <v>0.47672331586052336</v>
      </c>
      <c r="M711" s="309">
        <f t="shared" ref="M711:M721" si="115">$I$710*L711*(G711/K711)+$J$710</f>
        <v>1.0225397364012709</v>
      </c>
      <c r="N711" s="294">
        <v>0</v>
      </c>
      <c r="O711" s="294" t="str">
        <f t="shared" si="114"/>
        <v/>
      </c>
      <c r="P711" s="294"/>
    </row>
    <row r="712" spans="1:16">
      <c r="A712" s="294"/>
      <c r="B712" s="294" t="s">
        <v>325</v>
      </c>
      <c r="C712" s="294" t="s">
        <v>575</v>
      </c>
      <c r="D712" s="295" t="s">
        <v>1056</v>
      </c>
      <c r="E712" s="296">
        <v>3</v>
      </c>
      <c r="F712" s="294">
        <v>7.7</v>
      </c>
      <c r="G712" s="308">
        <f t="shared" si="112"/>
        <v>6.0525017000000005</v>
      </c>
      <c r="H712" s="308"/>
      <c r="I712" s="294"/>
      <c r="J712" s="294"/>
      <c r="K712" s="294">
        <f t="shared" si="106"/>
        <v>2.3151999999999999</v>
      </c>
      <c r="L712" s="294">
        <f t="shared" si="107"/>
        <v>0.51831765727127777</v>
      </c>
      <c r="M712" s="309">
        <f t="shared" si="115"/>
        <v>1.4454437180769093</v>
      </c>
      <c r="N712" s="294">
        <v>0</v>
      </c>
      <c r="O712" s="294" t="str">
        <f t="shared" si="114"/>
        <v/>
      </c>
      <c r="P712" s="294"/>
    </row>
    <row r="713" spans="1:16">
      <c r="A713" s="294"/>
      <c r="B713" s="294" t="s">
        <v>325</v>
      </c>
      <c r="C713" s="294" t="s">
        <v>575</v>
      </c>
      <c r="D713" s="295" t="s">
        <v>1056</v>
      </c>
      <c r="E713" s="296">
        <v>4</v>
      </c>
      <c r="F713" s="294">
        <v>13.3</v>
      </c>
      <c r="G713" s="308">
        <f t="shared" si="112"/>
        <v>7.969462</v>
      </c>
      <c r="H713" s="308"/>
      <c r="I713" s="294"/>
      <c r="J713" s="294"/>
      <c r="K713" s="294">
        <f t="shared" si="106"/>
        <v>2.1808000000000001</v>
      </c>
      <c r="L713" s="294">
        <f t="shared" si="107"/>
        <v>0.59631162235041102</v>
      </c>
      <c r="M713" s="309">
        <f t="shared" si="115"/>
        <v>2.1846944628524012</v>
      </c>
      <c r="N713" s="294">
        <v>0</v>
      </c>
      <c r="O713" s="294" t="str">
        <f t="shared" si="114"/>
        <v/>
      </c>
      <c r="P713" s="294"/>
    </row>
    <row r="714" spans="1:16">
      <c r="A714" s="294"/>
      <c r="B714" s="294" t="s">
        <v>325</v>
      </c>
      <c r="C714" s="294" t="s">
        <v>575</v>
      </c>
      <c r="D714" s="295" t="s">
        <v>1056</v>
      </c>
      <c r="E714" s="296">
        <v>5</v>
      </c>
      <c r="F714" s="294">
        <v>19.5</v>
      </c>
      <c r="G714" s="308">
        <f t="shared" si="112"/>
        <v>9.763087800000001</v>
      </c>
      <c r="H714" s="308"/>
      <c r="I714" s="294"/>
      <c r="J714" s="294"/>
      <c r="K714" s="294">
        <f t="shared" si="106"/>
        <v>2.032</v>
      </c>
      <c r="L714" s="294">
        <f t="shared" si="107"/>
        <v>0.67515667435506088</v>
      </c>
      <c r="M714" s="309">
        <f t="shared" si="115"/>
        <v>3.1397823128762639</v>
      </c>
      <c r="N714" s="294">
        <v>0</v>
      </c>
      <c r="O714" s="294" t="str">
        <f t="shared" si="114"/>
        <v/>
      </c>
      <c r="P714" s="294"/>
    </row>
    <row r="715" spans="1:16">
      <c r="A715" s="294"/>
      <c r="B715" s="294" t="s">
        <v>325</v>
      </c>
      <c r="C715" s="294" t="s">
        <v>575</v>
      </c>
      <c r="D715" s="295" t="s">
        <v>1056</v>
      </c>
      <c r="E715" s="296">
        <v>6</v>
      </c>
      <c r="F715" s="294">
        <v>21.7</v>
      </c>
      <c r="G715" s="308">
        <f t="shared" si="112"/>
        <v>9.8467880000000001</v>
      </c>
      <c r="H715" s="308"/>
      <c r="I715" s="294"/>
      <c r="J715" s="294"/>
      <c r="K715" s="294">
        <f t="shared" si="106"/>
        <v>1.9792000000000001</v>
      </c>
      <c r="L715" s="294">
        <f t="shared" si="107"/>
        <v>0.70052966467044631</v>
      </c>
      <c r="M715" s="309">
        <f t="shared" si="115"/>
        <v>3.3562512554879316</v>
      </c>
      <c r="N715" s="294">
        <v>0</v>
      </c>
      <c r="O715" s="294" t="str">
        <f t="shared" si="114"/>
        <v/>
      </c>
      <c r="P715" s="294"/>
    </row>
    <row r="716" spans="1:16">
      <c r="A716" s="294"/>
      <c r="B716" s="294" t="s">
        <v>325</v>
      </c>
      <c r="C716" s="294" t="s">
        <v>575</v>
      </c>
      <c r="D716" s="295" t="s">
        <v>1056</v>
      </c>
      <c r="E716" s="296">
        <v>7</v>
      </c>
      <c r="F716" s="294">
        <v>26.1</v>
      </c>
      <c r="G716" s="308">
        <f t="shared" si="112"/>
        <v>9.446059</v>
      </c>
      <c r="H716" s="308"/>
      <c r="I716" s="294"/>
      <c r="J716" s="294"/>
      <c r="K716" s="294">
        <f t="shared" si="106"/>
        <v>1.8735999999999999</v>
      </c>
      <c r="L716" s="294">
        <f t="shared" si="107"/>
        <v>0.74660655364901107</v>
      </c>
      <c r="M716" s="309">
        <f t="shared" si="115"/>
        <v>3.6064320726585373</v>
      </c>
      <c r="N716" s="294">
        <v>1</v>
      </c>
      <c r="O716" s="294">
        <f t="shared" si="114"/>
        <v>3.6064320726585373</v>
      </c>
      <c r="P716" s="294"/>
    </row>
    <row r="717" spans="1:16">
      <c r="A717" s="294"/>
      <c r="B717" s="294" t="s">
        <v>325</v>
      </c>
      <c r="C717" s="294" t="s">
        <v>575</v>
      </c>
      <c r="D717" s="295" t="s">
        <v>1056</v>
      </c>
      <c r="E717" s="296">
        <v>8</v>
      </c>
      <c r="F717" s="294">
        <v>27</v>
      </c>
      <c r="G717" s="308">
        <f t="shared" si="112"/>
        <v>8.6896734999999996</v>
      </c>
      <c r="H717" s="308"/>
      <c r="I717" s="294"/>
      <c r="J717" s="294"/>
      <c r="K717" s="294">
        <f t="shared" si="106"/>
        <v>1.8519999999999999</v>
      </c>
      <c r="L717" s="294">
        <f t="shared" si="107"/>
        <v>0.75524020561421423</v>
      </c>
      <c r="M717" s="309">
        <f t="shared" si="115"/>
        <v>3.408630317695339</v>
      </c>
      <c r="N717" s="294">
        <v>0</v>
      </c>
      <c r="O717" s="294" t="str">
        <f t="shared" si="114"/>
        <v/>
      </c>
      <c r="P717" s="294"/>
    </row>
    <row r="718" spans="1:16">
      <c r="A718" s="294"/>
      <c r="B718" s="294" t="s">
        <v>325</v>
      </c>
      <c r="C718" s="294" t="s">
        <v>575</v>
      </c>
      <c r="D718" s="295" t="s">
        <v>1056</v>
      </c>
      <c r="E718" s="296">
        <v>9</v>
      </c>
      <c r="F718" s="294">
        <v>21.5</v>
      </c>
      <c r="G718" s="308">
        <f t="shared" si="112"/>
        <v>6.9244161999999996</v>
      </c>
      <c r="H718" s="308"/>
      <c r="I718" s="294"/>
      <c r="J718" s="294"/>
      <c r="K718" s="294">
        <f t="shared" si="106"/>
        <v>1.984</v>
      </c>
      <c r="L718" s="294">
        <f t="shared" si="107"/>
        <v>0.69828547686607079</v>
      </c>
      <c r="M718" s="309">
        <f t="shared" si="115"/>
        <v>2.4160845179474912</v>
      </c>
      <c r="N718" s="294">
        <v>0</v>
      </c>
      <c r="O718" s="294" t="str">
        <f t="shared" si="114"/>
        <v/>
      </c>
      <c r="P718" s="294"/>
    </row>
    <row r="719" spans="1:16">
      <c r="A719" s="294"/>
      <c r="B719" s="294" t="s">
        <v>325</v>
      </c>
      <c r="C719" s="294" t="s">
        <v>575</v>
      </c>
      <c r="D719" s="295" t="s">
        <v>1056</v>
      </c>
      <c r="E719" s="296">
        <v>10</v>
      </c>
      <c r="F719" s="294">
        <v>17.100000000000001</v>
      </c>
      <c r="G719" s="308">
        <f t="shared" si="112"/>
        <v>3.9141311999999999</v>
      </c>
      <c r="H719" s="308"/>
      <c r="I719" s="294"/>
      <c r="J719" s="294"/>
      <c r="K719" s="294">
        <f t="shared" si="106"/>
        <v>2.0895999999999999</v>
      </c>
      <c r="L719" s="294">
        <f t="shared" si="107"/>
        <v>0.64583116355221615</v>
      </c>
      <c r="M719" s="309">
        <f t="shared" si="115"/>
        <v>1.3151347208801938</v>
      </c>
      <c r="N719" s="294">
        <v>0</v>
      </c>
      <c r="O719" s="294" t="str">
        <f t="shared" si="114"/>
        <v/>
      </c>
      <c r="P719" s="294"/>
    </row>
    <row r="720" spans="1:16">
      <c r="A720" s="294"/>
      <c r="B720" s="294" t="s">
        <v>325</v>
      </c>
      <c r="C720" s="294" t="s">
        <v>575</v>
      </c>
      <c r="D720" s="295" t="s">
        <v>1056</v>
      </c>
      <c r="E720" s="296">
        <v>11</v>
      </c>
      <c r="F720" s="294">
        <v>13.4</v>
      </c>
      <c r="G720" s="308">
        <f t="shared" si="112"/>
        <v>2.5891289999999998</v>
      </c>
      <c r="H720" s="308"/>
      <c r="I720" s="294"/>
      <c r="J720" s="294"/>
      <c r="K720" s="294">
        <f t="shared" si="106"/>
        <v>2.1783999999999999</v>
      </c>
      <c r="L720" s="294">
        <f t="shared" si="107"/>
        <v>0.59765717915425864</v>
      </c>
      <c r="M720" s="309">
        <f t="shared" si="115"/>
        <v>0.86717781240452552</v>
      </c>
      <c r="N720" s="294">
        <v>0</v>
      </c>
      <c r="O720" s="294" t="str">
        <f t="shared" si="114"/>
        <v/>
      </c>
      <c r="P720" s="294"/>
    </row>
    <row r="721" spans="1:16">
      <c r="A721" s="294"/>
      <c r="B721" s="294" t="s">
        <v>325</v>
      </c>
      <c r="C721" s="294" t="s">
        <v>575</v>
      </c>
      <c r="D721" s="295" t="s">
        <v>1056</v>
      </c>
      <c r="E721" s="296">
        <v>12</v>
      </c>
      <c r="F721" s="294">
        <v>8</v>
      </c>
      <c r="G721" s="308">
        <f t="shared" si="112"/>
        <v>1.3030549999999996</v>
      </c>
      <c r="H721" s="308"/>
      <c r="I721" s="294"/>
      <c r="J721" s="294"/>
      <c r="K721" s="294">
        <f t="shared" si="106"/>
        <v>2.3079999999999998</v>
      </c>
      <c r="L721" s="294">
        <f t="shared" si="107"/>
        <v>0.52259463248663729</v>
      </c>
      <c r="M721" s="309">
        <f t="shared" si="115"/>
        <v>0.49465757595532189</v>
      </c>
      <c r="N721" s="294">
        <v>0</v>
      </c>
      <c r="O721" s="294" t="str">
        <f t="shared" si="114"/>
        <v/>
      </c>
      <c r="P721" s="294"/>
    </row>
    <row r="722" spans="1:16">
      <c r="A722" s="294">
        <v>61</v>
      </c>
      <c r="B722" s="294" t="s">
        <v>325</v>
      </c>
      <c r="C722" s="294" t="s">
        <v>576</v>
      </c>
      <c r="D722" s="295" t="s">
        <v>1056</v>
      </c>
      <c r="E722" s="296">
        <v>1</v>
      </c>
      <c r="F722" s="294">
        <v>3.4</v>
      </c>
      <c r="G722" s="308">
        <f t="shared" si="112"/>
        <v>3.6247158100000005</v>
      </c>
      <c r="H722" s="294">
        <v>35.700000000000003</v>
      </c>
      <c r="I722" s="306">
        <v>0.83399999999999996</v>
      </c>
      <c r="J722" s="307">
        <v>0.34</v>
      </c>
      <c r="K722" s="294">
        <f t="shared" si="106"/>
        <v>2.4184000000000001</v>
      </c>
      <c r="L722" s="294">
        <f t="shared" si="107"/>
        <v>0.45660104450706968</v>
      </c>
      <c r="M722" s="309">
        <f>$I$722*L722*(G722/K722)+$J$722</f>
        <v>0.91075375734204411</v>
      </c>
      <c r="N722" s="294">
        <v>0</v>
      </c>
      <c r="O722" s="294" t="str">
        <f t="shared" si="114"/>
        <v/>
      </c>
      <c r="P722" s="294">
        <f>AVERAGE(O722:O733)</f>
        <v>6.0440137507357088</v>
      </c>
    </row>
    <row r="723" spans="1:16">
      <c r="A723" s="294"/>
      <c r="B723" s="294" t="s">
        <v>325</v>
      </c>
      <c r="C723" s="294" t="s">
        <v>576</v>
      </c>
      <c r="D723" s="295" t="s">
        <v>1056</v>
      </c>
      <c r="E723" s="296">
        <v>2</v>
      </c>
      <c r="F723" s="294">
        <v>4.0999999999999996</v>
      </c>
      <c r="G723" s="308">
        <f t="shared" si="112"/>
        <v>7.5653012299999993</v>
      </c>
      <c r="H723" s="294">
        <v>69.099999999999994</v>
      </c>
      <c r="I723" s="297"/>
      <c r="J723" s="297"/>
      <c r="K723" s="294">
        <f t="shared" si="106"/>
        <v>2.4016000000000002</v>
      </c>
      <c r="L723" s="294">
        <f t="shared" si="107"/>
        <v>0.46665792306441634</v>
      </c>
      <c r="M723" s="309">
        <f t="shared" ref="M723:M733" si="116">$I$722*L723*(G723/K723)+$J$722</f>
        <v>1.5659993634646181</v>
      </c>
      <c r="N723" s="294">
        <v>0</v>
      </c>
      <c r="O723" s="294" t="str">
        <f t="shared" si="114"/>
        <v/>
      </c>
      <c r="P723" s="294"/>
    </row>
    <row r="724" spans="1:16">
      <c r="A724" s="294"/>
      <c r="B724" s="294" t="s">
        <v>325</v>
      </c>
      <c r="C724" s="294" t="s">
        <v>576</v>
      </c>
      <c r="D724" s="295" t="s">
        <v>1056</v>
      </c>
      <c r="E724" s="296">
        <v>3</v>
      </c>
      <c r="F724" s="294">
        <v>6.3</v>
      </c>
      <c r="G724" s="308">
        <f t="shared" si="112"/>
        <v>12.83942933</v>
      </c>
      <c r="H724" s="294">
        <v>149.1</v>
      </c>
      <c r="I724" s="297"/>
      <c r="J724" s="297"/>
      <c r="K724" s="294">
        <f t="shared" si="106"/>
        <v>2.3487999999999998</v>
      </c>
      <c r="L724" s="294">
        <f t="shared" si="107"/>
        <v>0.4982788821546576</v>
      </c>
      <c r="M724" s="309">
        <f t="shared" si="116"/>
        <v>2.61163324082204</v>
      </c>
      <c r="N724" s="294">
        <v>0</v>
      </c>
      <c r="O724" s="294" t="str">
        <f t="shared" si="114"/>
        <v/>
      </c>
      <c r="P724" s="294"/>
    </row>
    <row r="725" spans="1:16">
      <c r="A725" s="294"/>
      <c r="B725" s="294" t="s">
        <v>325</v>
      </c>
      <c r="C725" s="294" t="s">
        <v>576</v>
      </c>
      <c r="D725" s="295" t="s">
        <v>1056</v>
      </c>
      <c r="E725" s="296">
        <v>4</v>
      </c>
      <c r="F725" s="294">
        <v>11.9</v>
      </c>
      <c r="G725" s="308">
        <f t="shared" si="112"/>
        <v>16.281286180000002</v>
      </c>
      <c r="H725" s="294">
        <v>182.6</v>
      </c>
      <c r="I725" s="297"/>
      <c r="J725" s="297"/>
      <c r="K725" s="294">
        <f t="shared" si="106"/>
        <v>2.2143999999999999</v>
      </c>
      <c r="L725" s="294">
        <f t="shared" si="107"/>
        <v>0.57726765540955094</v>
      </c>
      <c r="M725" s="309">
        <f t="shared" si="116"/>
        <v>3.8797770758447245</v>
      </c>
      <c r="N725" s="294">
        <v>0</v>
      </c>
      <c r="O725" s="294" t="str">
        <f t="shared" si="114"/>
        <v/>
      </c>
      <c r="P725" s="294"/>
    </row>
    <row r="726" spans="1:16">
      <c r="A726" s="294"/>
      <c r="B726" s="294" t="s">
        <v>325</v>
      </c>
      <c r="C726" s="294" t="s">
        <v>576</v>
      </c>
      <c r="D726" s="295" t="s">
        <v>1056</v>
      </c>
      <c r="E726" s="296">
        <v>5</v>
      </c>
      <c r="F726" s="294">
        <v>17.7</v>
      </c>
      <c r="G726" s="308">
        <f t="shared" si="112"/>
        <v>22.57221882</v>
      </c>
      <c r="H726" s="294">
        <v>281.39999999999998</v>
      </c>
      <c r="I726" s="297"/>
      <c r="J726" s="297"/>
      <c r="K726" s="294">
        <f t="shared" si="106"/>
        <v>2.0752000000000002</v>
      </c>
      <c r="L726" s="294">
        <f t="shared" si="107"/>
        <v>0.65331554390309887</v>
      </c>
      <c r="M726" s="309">
        <f t="shared" si="116"/>
        <v>6.2665688610818444</v>
      </c>
      <c r="N726" s="294">
        <v>0</v>
      </c>
      <c r="O726" s="294" t="str">
        <f t="shared" si="114"/>
        <v/>
      </c>
      <c r="P726" s="294"/>
    </row>
    <row r="727" spans="1:16">
      <c r="A727" s="294"/>
      <c r="B727" s="294" t="s">
        <v>325</v>
      </c>
      <c r="C727" s="294" t="s">
        <v>576</v>
      </c>
      <c r="D727" s="295" t="s">
        <v>1056</v>
      </c>
      <c r="E727" s="296">
        <v>6</v>
      </c>
      <c r="F727" s="294">
        <v>20.2</v>
      </c>
      <c r="G727" s="308">
        <f t="shared" si="112"/>
        <v>18.131300599999999</v>
      </c>
      <c r="H727" s="294">
        <v>182</v>
      </c>
      <c r="I727" s="297"/>
      <c r="J727" s="297"/>
      <c r="K727" s="294">
        <f t="shared" si="106"/>
        <v>2.0152000000000001</v>
      </c>
      <c r="L727" s="294">
        <f t="shared" si="107"/>
        <v>0.68339192349867006</v>
      </c>
      <c r="M727" s="309">
        <f t="shared" si="116"/>
        <v>5.4679844101828783</v>
      </c>
      <c r="N727" s="294">
        <v>0</v>
      </c>
      <c r="O727" s="294" t="str">
        <f t="shared" si="114"/>
        <v/>
      </c>
      <c r="P727" s="294"/>
    </row>
    <row r="728" spans="1:16">
      <c r="A728" s="294"/>
      <c r="B728" s="294" t="s">
        <v>325</v>
      </c>
      <c r="C728" s="294" t="s">
        <v>576</v>
      </c>
      <c r="D728" s="295" t="s">
        <v>1056</v>
      </c>
      <c r="E728" s="296">
        <v>7</v>
      </c>
      <c r="F728" s="294">
        <v>24.5</v>
      </c>
      <c r="G728" s="308">
        <f t="shared" si="112"/>
        <v>17.898993009999998</v>
      </c>
      <c r="H728" s="294">
        <v>185.7</v>
      </c>
      <c r="I728" s="297"/>
      <c r="J728" s="297"/>
      <c r="K728" s="294">
        <f t="shared" si="106"/>
        <v>1.9119999999999999</v>
      </c>
      <c r="L728" s="294">
        <f t="shared" si="107"/>
        <v>0.73059013321207966</v>
      </c>
      <c r="M728" s="309">
        <f t="shared" si="116"/>
        <v>6.0440137507357088</v>
      </c>
      <c r="N728" s="294">
        <v>1</v>
      </c>
      <c r="O728" s="294">
        <f t="shared" si="114"/>
        <v>6.0440137507357088</v>
      </c>
      <c r="P728" s="294"/>
    </row>
    <row r="729" spans="1:16">
      <c r="A729" s="294"/>
      <c r="B729" s="294" t="s">
        <v>325</v>
      </c>
      <c r="C729" s="294" t="s">
        <v>576</v>
      </c>
      <c r="D729" s="295" t="s">
        <v>1056</v>
      </c>
      <c r="E729" s="296">
        <v>8</v>
      </c>
      <c r="F729" s="294">
        <v>25.4</v>
      </c>
      <c r="G729" s="308">
        <f t="shared" si="112"/>
        <v>17.820845080000002</v>
      </c>
      <c r="H729" s="294">
        <v>200.6</v>
      </c>
      <c r="I729" s="297"/>
      <c r="J729" s="297"/>
      <c r="K729" s="294">
        <f t="shared" si="106"/>
        <v>1.8904000000000001</v>
      </c>
      <c r="L729" s="294">
        <f t="shared" si="107"/>
        <v>0.73970436015123497</v>
      </c>
      <c r="M729" s="309">
        <f t="shared" si="116"/>
        <v>6.1556574149657433</v>
      </c>
      <c r="N729" s="294">
        <v>0</v>
      </c>
      <c r="O729" s="294" t="str">
        <f t="shared" si="114"/>
        <v/>
      </c>
      <c r="P729" s="294"/>
    </row>
    <row r="730" spans="1:16">
      <c r="A730" s="294"/>
      <c r="B730" s="294" t="s">
        <v>325</v>
      </c>
      <c r="C730" s="294" t="s">
        <v>576</v>
      </c>
      <c r="D730" s="295" t="s">
        <v>1056</v>
      </c>
      <c r="E730" s="296">
        <v>9</v>
      </c>
      <c r="F730" s="294">
        <v>20.6</v>
      </c>
      <c r="G730" s="308">
        <f t="shared" si="112"/>
        <v>12.659848</v>
      </c>
      <c r="H730" s="294">
        <v>126</v>
      </c>
      <c r="I730" s="297"/>
      <c r="J730" s="297"/>
      <c r="K730" s="294">
        <f t="shared" si="106"/>
        <v>2.0055999999999998</v>
      </c>
      <c r="L730" s="294">
        <f t="shared" si="107"/>
        <v>0.68803058654568494</v>
      </c>
      <c r="M730" s="309">
        <f t="shared" si="116"/>
        <v>3.9620794006511901</v>
      </c>
      <c r="N730" s="294">
        <v>0</v>
      </c>
      <c r="O730" s="294" t="str">
        <f t="shared" si="114"/>
        <v/>
      </c>
      <c r="P730" s="294"/>
    </row>
    <row r="731" spans="1:16">
      <c r="A731" s="294"/>
      <c r="B731" s="294" t="s">
        <v>325</v>
      </c>
      <c r="C731" s="294" t="s">
        <v>576</v>
      </c>
      <c r="D731" s="295" t="s">
        <v>1056</v>
      </c>
      <c r="E731" s="296">
        <v>10</v>
      </c>
      <c r="F731" s="294">
        <v>15.2</v>
      </c>
      <c r="G731" s="308">
        <f t="shared" si="112"/>
        <v>12.28057854</v>
      </c>
      <c r="H731" s="294">
        <v>183.8</v>
      </c>
      <c r="I731" s="297"/>
      <c r="J731" s="297"/>
      <c r="K731" s="294">
        <f t="shared" si="106"/>
        <v>2.1352000000000002</v>
      </c>
      <c r="L731" s="294">
        <f t="shared" si="107"/>
        <v>0.62150446245737101</v>
      </c>
      <c r="M731" s="309">
        <f t="shared" si="116"/>
        <v>3.3211962625123168</v>
      </c>
      <c r="N731" s="294">
        <v>0</v>
      </c>
      <c r="O731" s="294" t="str">
        <f t="shared" si="114"/>
        <v/>
      </c>
      <c r="P731" s="294"/>
    </row>
    <row r="732" spans="1:16">
      <c r="A732" s="294"/>
      <c r="B732" s="294" t="s">
        <v>325</v>
      </c>
      <c r="C732" s="294" t="s">
        <v>576</v>
      </c>
      <c r="D732" s="295" t="s">
        <v>1056</v>
      </c>
      <c r="E732" s="296">
        <v>11</v>
      </c>
      <c r="F732" s="294">
        <v>12.4</v>
      </c>
      <c r="G732" s="308">
        <f t="shared" si="112"/>
        <v>5.9530052700000002</v>
      </c>
      <c r="H732" s="294">
        <v>73.900000000000006</v>
      </c>
      <c r="I732" s="297"/>
      <c r="J732" s="297"/>
      <c r="K732" s="294">
        <f t="shared" si="106"/>
        <v>2.2023999999999999</v>
      </c>
      <c r="L732" s="294">
        <f t="shared" si="107"/>
        <v>0.58411170691101355</v>
      </c>
      <c r="M732" s="309">
        <f t="shared" si="116"/>
        <v>1.6567460670047702</v>
      </c>
      <c r="N732" s="294">
        <v>0</v>
      </c>
      <c r="O732" s="294" t="str">
        <f t="shared" si="114"/>
        <v/>
      </c>
      <c r="P732" s="294"/>
    </row>
    <row r="733" spans="1:16">
      <c r="A733" s="294"/>
      <c r="B733" s="294" t="s">
        <v>325</v>
      </c>
      <c r="C733" s="294" t="s">
        <v>576</v>
      </c>
      <c r="D733" s="295" t="s">
        <v>1056</v>
      </c>
      <c r="E733" s="296">
        <v>12</v>
      </c>
      <c r="F733" s="294">
        <v>7</v>
      </c>
      <c r="G733" s="308">
        <f t="shared" si="112"/>
        <v>3.9340705399999996</v>
      </c>
      <c r="H733" s="294">
        <v>57.8</v>
      </c>
      <c r="I733" s="297"/>
      <c r="J733" s="297"/>
      <c r="K733" s="294">
        <f t="shared" si="106"/>
        <v>2.3319999999999999</v>
      </c>
      <c r="L733" s="294">
        <f t="shared" si="107"/>
        <v>0.50831255550801102</v>
      </c>
      <c r="M733" s="309">
        <f t="shared" si="116"/>
        <v>1.0551719695883253</v>
      </c>
      <c r="N733" s="294">
        <v>0</v>
      </c>
      <c r="O733" s="294" t="str">
        <f t="shared" si="114"/>
        <v/>
      </c>
      <c r="P733" s="294"/>
    </row>
    <row r="734" spans="1:16">
      <c r="A734" s="294">
        <v>62</v>
      </c>
      <c r="B734" s="294" t="s">
        <v>577</v>
      </c>
      <c r="C734" s="294" t="s">
        <v>577</v>
      </c>
      <c r="D734" s="295" t="s">
        <v>1056</v>
      </c>
      <c r="E734" s="296">
        <v>1</v>
      </c>
      <c r="F734" s="294">
        <v>3.2</v>
      </c>
      <c r="G734" s="294">
        <v>5.0999999999999996</v>
      </c>
      <c r="H734" s="294"/>
      <c r="I734" s="294">
        <v>0.95599999999999996</v>
      </c>
      <c r="J734" s="294">
        <v>-0.26</v>
      </c>
      <c r="K734" s="294">
        <f t="shared" si="106"/>
        <v>2.4232</v>
      </c>
      <c r="L734" s="294">
        <f t="shared" si="107"/>
        <v>0.45373046962916019</v>
      </c>
      <c r="M734" s="297">
        <f>$I$734*L734*(G734/K734)+$J$734</f>
        <v>0.65292847380485841</v>
      </c>
      <c r="N734" s="294">
        <v>0</v>
      </c>
      <c r="O734" s="294" t="str">
        <f t="shared" si="114"/>
        <v/>
      </c>
      <c r="P734" s="294">
        <f>AVERAGE(O734:O745)</f>
        <v>6.0361790229623642</v>
      </c>
    </row>
    <row r="735" spans="1:16">
      <c r="A735" s="294"/>
      <c r="B735" s="294" t="s">
        <v>577</v>
      </c>
      <c r="C735" s="294" t="s">
        <v>577</v>
      </c>
      <c r="D735" s="295" t="s">
        <v>1056</v>
      </c>
      <c r="E735" s="296">
        <v>2</v>
      </c>
      <c r="F735" s="294">
        <v>3.9</v>
      </c>
      <c r="G735" s="294">
        <v>7.8</v>
      </c>
      <c r="H735" s="294"/>
      <c r="I735" s="294"/>
      <c r="J735" s="294"/>
      <c r="K735" s="294">
        <f t="shared" si="106"/>
        <v>2.4064000000000001</v>
      </c>
      <c r="L735" s="294">
        <f t="shared" si="107"/>
        <v>0.46378326771227446</v>
      </c>
      <c r="M735" s="297">
        <f t="shared" ref="M735:M745" si="117">$I$734*L735*(G735/K735)+$J$734</f>
        <v>1.1771422334927226</v>
      </c>
      <c r="N735" s="294">
        <v>0</v>
      </c>
      <c r="O735" s="294" t="str">
        <f t="shared" si="114"/>
        <v/>
      </c>
      <c r="P735" s="294"/>
    </row>
    <row r="736" spans="1:16">
      <c r="A736" s="294"/>
      <c r="B736" s="294" t="s">
        <v>577</v>
      </c>
      <c r="C736" s="294" t="s">
        <v>577</v>
      </c>
      <c r="D736" s="295" t="s">
        <v>1056</v>
      </c>
      <c r="E736" s="296">
        <v>3</v>
      </c>
      <c r="F736" s="294">
        <v>7.6</v>
      </c>
      <c r="G736" s="294">
        <v>11.9</v>
      </c>
      <c r="H736" s="294"/>
      <c r="I736" s="294"/>
      <c r="J736" s="294"/>
      <c r="K736" s="294">
        <f t="shared" si="106"/>
        <v>2.3176000000000001</v>
      </c>
      <c r="L736" s="294">
        <f t="shared" si="107"/>
        <v>0.51689044020520014</v>
      </c>
      <c r="M736" s="297">
        <f t="shared" si="117"/>
        <v>2.2772594079869002</v>
      </c>
      <c r="N736" s="294">
        <v>0</v>
      </c>
      <c r="O736" s="294" t="str">
        <f t="shared" si="114"/>
        <v/>
      </c>
      <c r="P736" s="294"/>
    </row>
    <row r="737" spans="1:16">
      <c r="A737" s="294"/>
      <c r="B737" s="294" t="s">
        <v>577</v>
      </c>
      <c r="C737" s="294" t="s">
        <v>577</v>
      </c>
      <c r="D737" s="295" t="s">
        <v>1056</v>
      </c>
      <c r="E737" s="296">
        <v>4</v>
      </c>
      <c r="F737" s="294">
        <v>13.9</v>
      </c>
      <c r="G737" s="294">
        <v>14.9</v>
      </c>
      <c r="H737" s="294"/>
      <c r="I737" s="294"/>
      <c r="J737" s="294"/>
      <c r="K737" s="294">
        <f t="shared" si="106"/>
        <v>2.1663999999999999</v>
      </c>
      <c r="L737" s="294">
        <f t="shared" si="107"/>
        <v>0.60435349971924368</v>
      </c>
      <c r="M737" s="297">
        <f t="shared" si="117"/>
        <v>3.7137135300040596</v>
      </c>
      <c r="N737" s="294">
        <v>0</v>
      </c>
      <c r="O737" s="294" t="str">
        <f t="shared" si="114"/>
        <v/>
      </c>
      <c r="P737" s="294"/>
    </row>
    <row r="738" spans="1:16">
      <c r="A738" s="294"/>
      <c r="B738" s="294" t="s">
        <v>577</v>
      </c>
      <c r="C738" s="294" t="s">
        <v>577</v>
      </c>
      <c r="D738" s="295" t="s">
        <v>1056</v>
      </c>
      <c r="E738" s="296">
        <v>5</v>
      </c>
      <c r="F738" s="294">
        <v>19.7</v>
      </c>
      <c r="G738" s="294">
        <v>21.7</v>
      </c>
      <c r="H738" s="294"/>
      <c r="I738" s="294"/>
      <c r="J738" s="294"/>
      <c r="K738" s="294">
        <f t="shared" si="106"/>
        <v>2.0272000000000001</v>
      </c>
      <c r="L738" s="294">
        <f t="shared" si="107"/>
        <v>0.67752473134026181</v>
      </c>
      <c r="M738" s="297">
        <f t="shared" si="117"/>
        <v>6.6733988045580093</v>
      </c>
      <c r="N738" s="294">
        <v>0</v>
      </c>
      <c r="O738" s="294" t="str">
        <f t="shared" si="114"/>
        <v/>
      </c>
      <c r="P738" s="294"/>
    </row>
    <row r="739" spans="1:16">
      <c r="A739" s="294"/>
      <c r="B739" s="294" t="s">
        <v>577</v>
      </c>
      <c r="C739" s="294" t="s">
        <v>577</v>
      </c>
      <c r="D739" s="295" t="s">
        <v>1056</v>
      </c>
      <c r="E739" s="296">
        <v>6</v>
      </c>
      <c r="F739" s="294">
        <v>22</v>
      </c>
      <c r="G739" s="294">
        <v>16.899999999999999</v>
      </c>
      <c r="H739" s="294"/>
      <c r="I739" s="294"/>
      <c r="J739" s="294"/>
      <c r="K739" s="294">
        <f t="shared" si="106"/>
        <v>1.972</v>
      </c>
      <c r="L739" s="294">
        <f t="shared" si="107"/>
        <v>0.70387205081416948</v>
      </c>
      <c r="M739" s="297">
        <f t="shared" si="117"/>
        <v>5.506753753435115</v>
      </c>
      <c r="N739" s="294">
        <v>0</v>
      </c>
      <c r="O739" s="294" t="str">
        <f t="shared" si="114"/>
        <v/>
      </c>
      <c r="P739" s="294"/>
    </row>
    <row r="740" spans="1:16">
      <c r="A740" s="294"/>
      <c r="B740" s="294" t="s">
        <v>577</v>
      </c>
      <c r="C740" s="294" t="s">
        <v>577</v>
      </c>
      <c r="D740" s="295" t="s">
        <v>1056</v>
      </c>
      <c r="E740" s="296">
        <v>7</v>
      </c>
      <c r="F740" s="294">
        <v>26.4</v>
      </c>
      <c r="G740" s="294">
        <v>16.399999999999999</v>
      </c>
      <c r="H740" s="294"/>
      <c r="I740" s="294"/>
      <c r="J740" s="294"/>
      <c r="K740" s="294">
        <f t="shared" si="106"/>
        <v>1.8664000000000001</v>
      </c>
      <c r="L740" s="294">
        <f t="shared" si="107"/>
        <v>0.74951452498067139</v>
      </c>
      <c r="M740" s="297">
        <f t="shared" si="117"/>
        <v>6.0361790229623642</v>
      </c>
      <c r="N740" s="294">
        <v>1</v>
      </c>
      <c r="O740" s="294">
        <f t="shared" si="114"/>
        <v>6.0361790229623642</v>
      </c>
      <c r="P740" s="294"/>
    </row>
    <row r="741" spans="1:16">
      <c r="A741" s="294"/>
      <c r="B741" s="294" t="s">
        <v>577</v>
      </c>
      <c r="C741" s="294" t="s">
        <v>577</v>
      </c>
      <c r="D741" s="295" t="s">
        <v>1056</v>
      </c>
      <c r="E741" s="296">
        <v>8</v>
      </c>
      <c r="F741" s="294">
        <v>26.9</v>
      </c>
      <c r="G741" s="294">
        <v>17.7</v>
      </c>
      <c r="H741" s="294"/>
      <c r="I741" s="294"/>
      <c r="J741" s="294"/>
      <c r="K741" s="294">
        <f t="shared" si="106"/>
        <v>1.8544</v>
      </c>
      <c r="L741" s="294">
        <f t="shared" si="107"/>
        <v>0.75429428284269995</v>
      </c>
      <c r="M741" s="297">
        <f t="shared" si="117"/>
        <v>6.6228539790972247</v>
      </c>
      <c r="N741" s="294">
        <v>0</v>
      </c>
      <c r="O741" s="294" t="str">
        <f t="shared" si="114"/>
        <v/>
      </c>
      <c r="P741" s="294"/>
    </row>
    <row r="742" spans="1:16">
      <c r="A742" s="294"/>
      <c r="B742" s="294" t="s">
        <v>577</v>
      </c>
      <c r="C742" s="294" t="s">
        <v>577</v>
      </c>
      <c r="D742" s="295" t="s">
        <v>1056</v>
      </c>
      <c r="E742" s="296">
        <v>9</v>
      </c>
      <c r="F742" s="294">
        <v>21.3</v>
      </c>
      <c r="G742" s="294">
        <v>12.5</v>
      </c>
      <c r="H742" s="294"/>
      <c r="I742" s="294"/>
      <c r="J742" s="294"/>
      <c r="K742" s="294">
        <f t="shared" si="106"/>
        <v>1.9887999999999999</v>
      </c>
      <c r="L742" s="294">
        <f t="shared" si="107"/>
        <v>0.69602860950497947</v>
      </c>
      <c r="M742" s="297">
        <f t="shared" si="117"/>
        <v>3.9221912125827156</v>
      </c>
      <c r="N742" s="294">
        <v>0</v>
      </c>
      <c r="O742" s="294" t="str">
        <f t="shared" si="114"/>
        <v/>
      </c>
      <c r="P742" s="294"/>
    </row>
    <row r="743" spans="1:16">
      <c r="A743" s="294"/>
      <c r="B743" s="294" t="s">
        <v>577</v>
      </c>
      <c r="C743" s="294" t="s">
        <v>577</v>
      </c>
      <c r="D743" s="295" t="s">
        <v>1056</v>
      </c>
      <c r="E743" s="296">
        <v>10</v>
      </c>
      <c r="F743" s="294">
        <v>16.3</v>
      </c>
      <c r="G743" s="294">
        <v>13</v>
      </c>
      <c r="H743" s="294"/>
      <c r="I743" s="294"/>
      <c r="J743" s="294"/>
      <c r="K743" s="294">
        <f t="shared" si="106"/>
        <v>2.1088</v>
      </c>
      <c r="L743" s="294">
        <f t="shared" si="107"/>
        <v>0.63570126432395468</v>
      </c>
      <c r="M743" s="297">
        <f t="shared" si="117"/>
        <v>3.4864412523796036</v>
      </c>
      <c r="N743" s="294">
        <v>0</v>
      </c>
      <c r="O743" s="294" t="str">
        <f t="shared" si="114"/>
        <v/>
      </c>
      <c r="P743" s="294"/>
    </row>
    <row r="744" spans="1:16">
      <c r="A744" s="294"/>
      <c r="B744" s="294" t="s">
        <v>577</v>
      </c>
      <c r="C744" s="294" t="s">
        <v>577</v>
      </c>
      <c r="D744" s="295" t="s">
        <v>1056</v>
      </c>
      <c r="E744" s="296">
        <v>11</v>
      </c>
      <c r="F744" s="294">
        <v>13.1</v>
      </c>
      <c r="G744" s="294">
        <v>6.5</v>
      </c>
      <c r="H744" s="294"/>
      <c r="I744" s="294"/>
      <c r="J744" s="294"/>
      <c r="K744" s="294">
        <f t="shared" si="106"/>
        <v>2.1856</v>
      </c>
      <c r="L744" s="294">
        <f t="shared" si="107"/>
        <v>0.59361437367566949</v>
      </c>
      <c r="M744" s="297">
        <f t="shared" si="117"/>
        <v>1.427737791920118</v>
      </c>
      <c r="N744" s="294">
        <v>0</v>
      </c>
      <c r="O744" s="294" t="str">
        <f t="shared" si="114"/>
        <v/>
      </c>
      <c r="P744" s="294"/>
    </row>
    <row r="745" spans="1:16">
      <c r="A745" s="294"/>
      <c r="B745" s="294" t="s">
        <v>577</v>
      </c>
      <c r="C745" s="294" t="s">
        <v>577</v>
      </c>
      <c r="D745" s="295" t="s">
        <v>1056</v>
      </c>
      <c r="E745" s="296">
        <v>12</v>
      </c>
      <c r="F745" s="294">
        <v>7.5</v>
      </c>
      <c r="G745" s="294">
        <v>5.3</v>
      </c>
      <c r="H745" s="294"/>
      <c r="I745" s="294"/>
      <c r="J745" s="294"/>
      <c r="K745" s="294">
        <f t="shared" si="106"/>
        <v>2.3199999999999998</v>
      </c>
      <c r="L745" s="294">
        <f t="shared" si="107"/>
        <v>0.51546248616696222</v>
      </c>
      <c r="M745" s="297">
        <f t="shared" si="117"/>
        <v>0.86575229522015706</v>
      </c>
      <c r="N745" s="294">
        <v>0</v>
      </c>
      <c r="O745" s="294" t="str">
        <f t="shared" si="114"/>
        <v/>
      </c>
      <c r="P745" s="294"/>
    </row>
    <row r="746" spans="1:16">
      <c r="A746" s="294">
        <v>63</v>
      </c>
      <c r="B746" s="294" t="s">
        <v>328</v>
      </c>
      <c r="C746" s="294" t="s">
        <v>578</v>
      </c>
      <c r="D746" s="295" t="s">
        <v>1059</v>
      </c>
      <c r="E746" s="296">
        <v>1</v>
      </c>
      <c r="F746" s="294">
        <v>4.9000000000000004</v>
      </c>
      <c r="G746" s="308">
        <f t="shared" ref="G746:G757" si="118">$T$11+$T$12*H746+INDEX($T$13:$T$24,MATCH(E746,$S$13:$S$24,0),1)</f>
        <v>3.6611312500000013</v>
      </c>
      <c r="H746" s="294">
        <v>36.5</v>
      </c>
      <c r="I746" s="306">
        <v>1.123</v>
      </c>
      <c r="J746" s="307">
        <v>0.06</v>
      </c>
      <c r="K746" s="294">
        <f t="shared" si="106"/>
        <v>2.3824000000000001</v>
      </c>
      <c r="L746" s="294">
        <f t="shared" si="107"/>
        <v>0.47816140006637126</v>
      </c>
      <c r="M746" s="309">
        <f>$I$746*L746*(G746/K746)+$J$746</f>
        <v>0.88519177156604001</v>
      </c>
      <c r="N746" s="294">
        <v>0</v>
      </c>
      <c r="O746" s="294" t="str">
        <f t="shared" si="114"/>
        <v/>
      </c>
      <c r="P746" s="294">
        <f>AVERAGE(O746:O757)</f>
        <v>7.4628280152515236</v>
      </c>
    </row>
    <row r="747" spans="1:16">
      <c r="A747" s="294"/>
      <c r="B747" s="294" t="s">
        <v>328</v>
      </c>
      <c r="C747" s="294" t="s">
        <v>578</v>
      </c>
      <c r="D747" s="295" t="s">
        <v>1059</v>
      </c>
      <c r="E747" s="296">
        <v>2</v>
      </c>
      <c r="F747" s="294">
        <v>5.2</v>
      </c>
      <c r="G747" s="308">
        <f t="shared" si="118"/>
        <v>7.3240489399999991</v>
      </c>
      <c r="H747" s="294">
        <v>63.8</v>
      </c>
      <c r="I747" s="297"/>
      <c r="J747" s="297"/>
      <c r="K747" s="294">
        <f t="shared" si="106"/>
        <v>2.3752</v>
      </c>
      <c r="L747" s="294">
        <f t="shared" si="107"/>
        <v>0.48247533207240734</v>
      </c>
      <c r="M747" s="309">
        <f t="shared" ref="M747:M757" si="119">$I$746*L747*(G747/K747)+$J$746</f>
        <v>1.7307286614210646</v>
      </c>
      <c r="N747" s="294">
        <v>0</v>
      </c>
      <c r="O747" s="294" t="str">
        <f t="shared" si="114"/>
        <v/>
      </c>
      <c r="P747" s="294"/>
    </row>
    <row r="748" spans="1:16">
      <c r="A748" s="294"/>
      <c r="B748" s="294" t="s">
        <v>328</v>
      </c>
      <c r="C748" s="294" t="s">
        <v>578</v>
      </c>
      <c r="D748" s="295" t="s">
        <v>1059</v>
      </c>
      <c r="E748" s="296">
        <v>3</v>
      </c>
      <c r="F748" s="294">
        <v>8.6999999999999993</v>
      </c>
      <c r="G748" s="308">
        <f t="shared" si="118"/>
        <v>12.115672459999999</v>
      </c>
      <c r="H748" s="294">
        <v>133.19999999999999</v>
      </c>
      <c r="I748" s="297"/>
      <c r="J748" s="297"/>
      <c r="K748" s="294">
        <f t="shared" si="106"/>
        <v>2.2911999999999999</v>
      </c>
      <c r="L748" s="294">
        <f t="shared" si="107"/>
        <v>0.53254372569577879</v>
      </c>
      <c r="M748" s="309">
        <f t="shared" si="119"/>
        <v>3.2224200285224307</v>
      </c>
      <c r="N748" s="294">
        <v>0</v>
      </c>
      <c r="O748" s="294" t="str">
        <f t="shared" si="114"/>
        <v/>
      </c>
      <c r="P748" s="294"/>
    </row>
    <row r="749" spans="1:16">
      <c r="A749" s="294"/>
      <c r="B749" s="294" t="s">
        <v>328</v>
      </c>
      <c r="C749" s="294" t="s">
        <v>578</v>
      </c>
      <c r="D749" s="295" t="s">
        <v>1059</v>
      </c>
      <c r="E749" s="296">
        <v>4</v>
      </c>
      <c r="F749" s="294">
        <v>14.6</v>
      </c>
      <c r="G749" s="308">
        <f t="shared" si="118"/>
        <v>15.30717316</v>
      </c>
      <c r="H749" s="294">
        <v>161.19999999999999</v>
      </c>
      <c r="I749" s="297"/>
      <c r="J749" s="297"/>
      <c r="K749" s="294">
        <f t="shared" si="106"/>
        <v>2.1496</v>
      </c>
      <c r="L749" s="294">
        <f t="shared" si="107"/>
        <v>0.61363675963733433</v>
      </c>
      <c r="M749" s="309">
        <f t="shared" si="119"/>
        <v>4.9671401963037312</v>
      </c>
      <c r="N749" s="294">
        <v>0</v>
      </c>
      <c r="O749" s="294" t="str">
        <f t="shared" si="114"/>
        <v/>
      </c>
      <c r="P749" s="294"/>
    </row>
    <row r="750" spans="1:16">
      <c r="A750" s="294"/>
      <c r="B750" s="294" t="s">
        <v>328</v>
      </c>
      <c r="C750" s="294" t="s">
        <v>578</v>
      </c>
      <c r="D750" s="295" t="s">
        <v>1059</v>
      </c>
      <c r="E750" s="296">
        <v>5</v>
      </c>
      <c r="F750" s="294">
        <v>19.600000000000001</v>
      </c>
      <c r="G750" s="308">
        <f t="shared" si="118"/>
        <v>21.033666480000001</v>
      </c>
      <c r="H750" s="294">
        <v>247.6</v>
      </c>
      <c r="I750" s="297"/>
      <c r="J750" s="297"/>
      <c r="K750" s="294">
        <f t="shared" si="106"/>
        <v>2.0295999999999998</v>
      </c>
      <c r="L750" s="294">
        <f t="shared" si="107"/>
        <v>0.67634220580418636</v>
      </c>
      <c r="M750" s="309">
        <f t="shared" si="119"/>
        <v>7.93137811311116</v>
      </c>
      <c r="N750" s="294">
        <v>0</v>
      </c>
      <c r="O750" s="294" t="str">
        <f t="shared" si="114"/>
        <v/>
      </c>
      <c r="P750" s="294"/>
    </row>
    <row r="751" spans="1:16">
      <c r="A751" s="294"/>
      <c r="B751" s="294" t="s">
        <v>328</v>
      </c>
      <c r="C751" s="294" t="s">
        <v>578</v>
      </c>
      <c r="D751" s="295" t="s">
        <v>1059</v>
      </c>
      <c r="E751" s="296">
        <v>6</v>
      </c>
      <c r="F751" s="294">
        <v>21.9</v>
      </c>
      <c r="G751" s="308">
        <f t="shared" si="118"/>
        <v>16.574540540000001</v>
      </c>
      <c r="H751" s="294">
        <v>147.80000000000001</v>
      </c>
      <c r="I751" s="297"/>
      <c r="J751" s="297"/>
      <c r="K751" s="294">
        <f t="shared" si="106"/>
        <v>1.9744000000000002</v>
      </c>
      <c r="L751" s="294">
        <f t="shared" si="107"/>
        <v>0.70276111711361078</v>
      </c>
      <c r="M751" s="309">
        <f t="shared" si="119"/>
        <v>6.6851213373561897</v>
      </c>
      <c r="N751" s="294">
        <v>0</v>
      </c>
      <c r="O751" s="294" t="str">
        <f t="shared" si="114"/>
        <v/>
      </c>
      <c r="P751" s="294"/>
    </row>
    <row r="752" spans="1:16">
      <c r="A752" s="294"/>
      <c r="B752" s="294" t="s">
        <v>328</v>
      </c>
      <c r="C752" s="294" t="s">
        <v>578</v>
      </c>
      <c r="D752" s="295" t="s">
        <v>1059</v>
      </c>
      <c r="E752" s="296">
        <v>7</v>
      </c>
      <c r="F752" s="294">
        <v>26.4</v>
      </c>
      <c r="G752" s="308">
        <f t="shared" si="118"/>
        <v>16.415063830000001</v>
      </c>
      <c r="H752" s="294">
        <v>153.1</v>
      </c>
      <c r="I752" s="297"/>
      <c r="J752" s="297"/>
      <c r="K752" s="294">
        <f t="shared" si="106"/>
        <v>1.8664000000000001</v>
      </c>
      <c r="L752" s="294">
        <f t="shared" si="107"/>
        <v>0.74951452498067139</v>
      </c>
      <c r="M752" s="309">
        <f t="shared" si="119"/>
        <v>7.4628280152515236</v>
      </c>
      <c r="N752" s="294">
        <v>1</v>
      </c>
      <c r="O752" s="294">
        <f t="shared" si="114"/>
        <v>7.4628280152515236</v>
      </c>
      <c r="P752" s="294"/>
    </row>
    <row r="753" spans="1:16">
      <c r="A753" s="294"/>
      <c r="B753" s="294" t="s">
        <v>328</v>
      </c>
      <c r="C753" s="294" t="s">
        <v>578</v>
      </c>
      <c r="D753" s="295" t="s">
        <v>1059</v>
      </c>
      <c r="E753" s="296">
        <v>8</v>
      </c>
      <c r="F753" s="294">
        <v>27.1</v>
      </c>
      <c r="G753" s="308">
        <f t="shared" si="118"/>
        <v>17.511313840000003</v>
      </c>
      <c r="H753" s="294">
        <v>193.8</v>
      </c>
      <c r="I753" s="297"/>
      <c r="J753" s="297"/>
      <c r="K753" s="294">
        <f t="shared" si="106"/>
        <v>1.8495999999999999</v>
      </c>
      <c r="L753" s="294">
        <f t="shared" si="107"/>
        <v>0.7561827862483661</v>
      </c>
      <c r="M753" s="309">
        <f t="shared" si="119"/>
        <v>8.0998409621107683</v>
      </c>
      <c r="N753" s="294">
        <v>0</v>
      </c>
      <c r="O753" s="294" t="str">
        <f t="shared" si="114"/>
        <v/>
      </c>
      <c r="P753" s="294"/>
    </row>
    <row r="754" spans="1:16">
      <c r="A754" s="294"/>
      <c r="B754" s="294" t="s">
        <v>328</v>
      </c>
      <c r="C754" s="294" t="s">
        <v>578</v>
      </c>
      <c r="D754" s="295" t="s">
        <v>1059</v>
      </c>
      <c r="E754" s="296">
        <v>9</v>
      </c>
      <c r="F754" s="294">
        <v>21.8</v>
      </c>
      <c r="G754" s="308">
        <f t="shared" si="118"/>
        <v>11.77677358</v>
      </c>
      <c r="H754" s="294">
        <v>106.6</v>
      </c>
      <c r="I754" s="297"/>
      <c r="J754" s="297"/>
      <c r="K754" s="294">
        <f t="shared" si="106"/>
        <v>1.9767999999999999</v>
      </c>
      <c r="L754" s="294">
        <f t="shared" si="107"/>
        <v>0.70164698620294608</v>
      </c>
      <c r="M754" s="309">
        <f t="shared" si="119"/>
        <v>4.7542045859077611</v>
      </c>
      <c r="N754" s="294">
        <v>0</v>
      </c>
      <c r="O754" s="294" t="str">
        <f t="shared" si="114"/>
        <v/>
      </c>
      <c r="P754" s="294"/>
    </row>
    <row r="755" spans="1:16">
      <c r="A755" s="294"/>
      <c r="B755" s="294" t="s">
        <v>328</v>
      </c>
      <c r="C755" s="294" t="s">
        <v>578</v>
      </c>
      <c r="D755" s="295" t="s">
        <v>1059</v>
      </c>
      <c r="E755" s="296">
        <v>10</v>
      </c>
      <c r="F755" s="294">
        <v>17.399999999999999</v>
      </c>
      <c r="G755" s="308">
        <f t="shared" si="118"/>
        <v>12.54459048</v>
      </c>
      <c r="H755" s="294">
        <v>189.6</v>
      </c>
      <c r="I755" s="297"/>
      <c r="J755" s="297"/>
      <c r="K755" s="294">
        <f t="shared" si="106"/>
        <v>2.0823999999999998</v>
      </c>
      <c r="L755" s="294">
        <f t="shared" si="107"/>
        <v>0.64958569894078666</v>
      </c>
      <c r="M755" s="309">
        <f t="shared" si="119"/>
        <v>4.4544906471314727</v>
      </c>
      <c r="N755" s="294">
        <v>0</v>
      </c>
      <c r="O755" s="294" t="str">
        <f t="shared" si="114"/>
        <v/>
      </c>
      <c r="P755" s="294"/>
    </row>
    <row r="756" spans="1:16">
      <c r="A756" s="294"/>
      <c r="B756" s="294" t="s">
        <v>328</v>
      </c>
      <c r="C756" s="294" t="s">
        <v>578</v>
      </c>
      <c r="D756" s="295" t="s">
        <v>1059</v>
      </c>
      <c r="E756" s="296">
        <v>11</v>
      </c>
      <c r="F756" s="294">
        <v>14.1</v>
      </c>
      <c r="G756" s="308">
        <f t="shared" si="118"/>
        <v>6.4855810799999993</v>
      </c>
      <c r="H756" s="294">
        <v>85.6</v>
      </c>
      <c r="I756" s="297"/>
      <c r="J756" s="297"/>
      <c r="K756" s="294">
        <f t="shared" si="106"/>
        <v>2.1616</v>
      </c>
      <c r="L756" s="294">
        <f t="shared" si="107"/>
        <v>0.60701698364649326</v>
      </c>
      <c r="M756" s="309">
        <f t="shared" si="119"/>
        <v>2.1052865385337984</v>
      </c>
      <c r="N756" s="294">
        <v>0</v>
      </c>
      <c r="O756" s="294" t="str">
        <f t="shared" si="114"/>
        <v/>
      </c>
      <c r="P756" s="294"/>
    </row>
    <row r="757" spans="1:16">
      <c r="A757" s="294"/>
      <c r="B757" s="294" t="s">
        <v>328</v>
      </c>
      <c r="C757" s="294" t="s">
        <v>578</v>
      </c>
      <c r="D757" s="295" t="s">
        <v>1059</v>
      </c>
      <c r="E757" s="296">
        <v>12</v>
      </c>
      <c r="F757" s="294">
        <v>9.1</v>
      </c>
      <c r="G757" s="308">
        <f t="shared" si="118"/>
        <v>4.7170024999999987</v>
      </c>
      <c r="H757" s="294">
        <v>75</v>
      </c>
      <c r="I757" s="297"/>
      <c r="J757" s="297"/>
      <c r="K757" s="294">
        <f t="shared" si="106"/>
        <v>2.2816000000000001</v>
      </c>
      <c r="L757" s="294">
        <f t="shared" si="107"/>
        <v>0.53820717400547546</v>
      </c>
      <c r="M757" s="309">
        <f t="shared" si="119"/>
        <v>1.3095563241996313</v>
      </c>
      <c r="N757" s="294">
        <v>0</v>
      </c>
      <c r="O757" s="294" t="str">
        <f t="shared" si="114"/>
        <v/>
      </c>
      <c r="P757" s="294"/>
    </row>
    <row r="758" spans="1:16">
      <c r="A758" s="294">
        <v>64</v>
      </c>
      <c r="B758" s="294" t="s">
        <v>331</v>
      </c>
      <c r="C758" s="294" t="s">
        <v>579</v>
      </c>
      <c r="D758" s="295" t="s">
        <v>1059</v>
      </c>
      <c r="E758" s="296">
        <v>1</v>
      </c>
      <c r="F758" s="294">
        <v>3.4</v>
      </c>
      <c r="G758" s="294">
        <v>9.8000000000000007</v>
      </c>
      <c r="H758" s="294"/>
      <c r="I758" s="294">
        <v>0.80100000000000005</v>
      </c>
      <c r="J758" s="294">
        <v>0.37</v>
      </c>
      <c r="K758" s="294">
        <f t="shared" si="106"/>
        <v>2.4184000000000001</v>
      </c>
      <c r="L758" s="294">
        <f t="shared" si="107"/>
        <v>0.45660104450706968</v>
      </c>
      <c r="M758" s="297">
        <f t="shared" ref="M758:M769" si="120">$I$758*L758*(G758/K758)+$J$758</f>
        <v>1.8520653651883876</v>
      </c>
      <c r="N758" s="294">
        <v>0</v>
      </c>
      <c r="O758" s="294" t="str">
        <f t="shared" si="114"/>
        <v/>
      </c>
      <c r="P758" s="294">
        <f>AVERAGE(O758:O769)</f>
        <v>6.1990606781950852</v>
      </c>
    </row>
    <row r="759" spans="1:16">
      <c r="A759" s="294"/>
      <c r="B759" s="294" t="s">
        <v>331</v>
      </c>
      <c r="C759" s="294" t="s">
        <v>579</v>
      </c>
      <c r="D759" s="295" t="s">
        <v>1059</v>
      </c>
      <c r="E759" s="296">
        <v>2</v>
      </c>
      <c r="F759" s="294">
        <v>4.5</v>
      </c>
      <c r="G759" s="294">
        <v>13.2</v>
      </c>
      <c r="H759" s="294"/>
      <c r="I759" s="294"/>
      <c r="J759" s="294"/>
      <c r="K759" s="294">
        <f t="shared" si="106"/>
        <v>2.3919999999999999</v>
      </c>
      <c r="L759" s="294">
        <f t="shared" si="107"/>
        <v>0.47240910985268092</v>
      </c>
      <c r="M759" s="297">
        <f t="shared" si="120"/>
        <v>2.458158862999317</v>
      </c>
      <c r="N759" s="294">
        <v>0</v>
      </c>
      <c r="O759" s="294" t="str">
        <f t="shared" si="114"/>
        <v/>
      </c>
      <c r="P759" s="294"/>
    </row>
    <row r="760" spans="1:16">
      <c r="A760" s="294"/>
      <c r="B760" s="294" t="s">
        <v>331</v>
      </c>
      <c r="C760" s="294" t="s">
        <v>579</v>
      </c>
      <c r="D760" s="295" t="s">
        <v>1059</v>
      </c>
      <c r="E760" s="296">
        <v>3</v>
      </c>
      <c r="F760" s="294">
        <v>9.4</v>
      </c>
      <c r="G760" s="294">
        <v>16.8</v>
      </c>
      <c r="H760" s="294"/>
      <c r="I760" s="294"/>
      <c r="J760" s="294"/>
      <c r="K760" s="294">
        <f t="shared" si="106"/>
        <v>2.2744</v>
      </c>
      <c r="L760" s="294">
        <f t="shared" si="107"/>
        <v>0.54244317029746025</v>
      </c>
      <c r="M760" s="297">
        <f t="shared" si="120"/>
        <v>3.5794395242960184</v>
      </c>
      <c r="N760" s="294">
        <v>0</v>
      </c>
      <c r="O760" s="294" t="str">
        <f t="shared" si="114"/>
        <v/>
      </c>
      <c r="P760" s="294"/>
    </row>
    <row r="761" spans="1:16">
      <c r="A761" s="294"/>
      <c r="B761" s="294" t="s">
        <v>331</v>
      </c>
      <c r="C761" s="294" t="s">
        <v>579</v>
      </c>
      <c r="D761" s="295" t="s">
        <v>1059</v>
      </c>
      <c r="E761" s="296">
        <v>4</v>
      </c>
      <c r="F761" s="294">
        <v>14.4</v>
      </c>
      <c r="G761" s="294">
        <v>16.100000000000001</v>
      </c>
      <c r="H761" s="294"/>
      <c r="I761" s="294"/>
      <c r="J761" s="294"/>
      <c r="K761" s="294">
        <f t="shared" si="106"/>
        <v>2.1543999999999999</v>
      </c>
      <c r="L761" s="294">
        <f t="shared" si="107"/>
        <v>0.61099561633520971</v>
      </c>
      <c r="M761" s="297">
        <f t="shared" si="120"/>
        <v>4.0273805086430094</v>
      </c>
      <c r="N761" s="294">
        <v>0</v>
      </c>
      <c r="O761" s="294" t="str">
        <f t="shared" si="114"/>
        <v/>
      </c>
      <c r="P761" s="294"/>
    </row>
    <row r="762" spans="1:16">
      <c r="A762" s="294"/>
      <c r="B762" s="294" t="s">
        <v>331</v>
      </c>
      <c r="C762" s="294" t="s">
        <v>579</v>
      </c>
      <c r="D762" s="295" t="s">
        <v>1059</v>
      </c>
      <c r="E762" s="296">
        <v>5</v>
      </c>
      <c r="F762" s="294">
        <v>20.7</v>
      </c>
      <c r="G762" s="294">
        <v>22.9</v>
      </c>
      <c r="H762" s="294"/>
      <c r="I762" s="294"/>
      <c r="J762" s="294"/>
      <c r="K762" s="294">
        <f t="shared" si="106"/>
        <v>2.0032000000000001</v>
      </c>
      <c r="L762" s="294">
        <f t="shared" si="107"/>
        <v>0.68918252559756299</v>
      </c>
      <c r="M762" s="297">
        <f t="shared" si="120"/>
        <v>6.6807059448799606</v>
      </c>
      <c r="N762" s="294">
        <v>0</v>
      </c>
      <c r="O762" s="294" t="str">
        <f t="shared" si="114"/>
        <v/>
      </c>
      <c r="P762" s="294"/>
    </row>
    <row r="763" spans="1:16">
      <c r="A763" s="294"/>
      <c r="B763" s="294" t="s">
        <v>331</v>
      </c>
      <c r="C763" s="294" t="s">
        <v>579</v>
      </c>
      <c r="D763" s="295" t="s">
        <v>1059</v>
      </c>
      <c r="E763" s="296">
        <v>6</v>
      </c>
      <c r="F763" s="294">
        <v>21.9</v>
      </c>
      <c r="G763" s="294">
        <v>18.7</v>
      </c>
      <c r="H763" s="294"/>
      <c r="I763" s="294"/>
      <c r="J763" s="294"/>
      <c r="K763" s="294">
        <f t="shared" si="106"/>
        <v>1.9744000000000002</v>
      </c>
      <c r="L763" s="294">
        <f t="shared" si="107"/>
        <v>0.70276111711361078</v>
      </c>
      <c r="M763" s="297">
        <f t="shared" si="120"/>
        <v>5.7014667468140416</v>
      </c>
      <c r="N763" s="294">
        <v>0</v>
      </c>
      <c r="O763" s="294" t="str">
        <f t="shared" si="114"/>
        <v/>
      </c>
      <c r="P763" s="294"/>
    </row>
    <row r="764" spans="1:16">
      <c r="A764" s="294"/>
      <c r="B764" s="294" t="s">
        <v>331</v>
      </c>
      <c r="C764" s="294" t="s">
        <v>579</v>
      </c>
      <c r="D764" s="295" t="s">
        <v>1059</v>
      </c>
      <c r="E764" s="296">
        <v>7</v>
      </c>
      <c r="F764" s="294">
        <v>25.9</v>
      </c>
      <c r="G764" s="294">
        <v>18</v>
      </c>
      <c r="H764" s="294"/>
      <c r="I764" s="294"/>
      <c r="J764" s="294"/>
      <c r="K764" s="294">
        <f t="shared" si="106"/>
        <v>1.8784000000000001</v>
      </c>
      <c r="L764" s="294">
        <f t="shared" si="107"/>
        <v>0.7446511958168045</v>
      </c>
      <c r="M764" s="297">
        <f t="shared" si="120"/>
        <v>6.0857053563067964</v>
      </c>
      <c r="N764" s="294">
        <v>1</v>
      </c>
      <c r="O764" s="294">
        <f t="shared" si="114"/>
        <v>6.0857053563067964</v>
      </c>
      <c r="P764" s="294"/>
    </row>
    <row r="765" spans="1:16">
      <c r="A765" s="294"/>
      <c r="B765" s="294" t="s">
        <v>331</v>
      </c>
      <c r="C765" s="294" t="s">
        <v>579</v>
      </c>
      <c r="D765" s="295" t="s">
        <v>1059</v>
      </c>
      <c r="E765" s="296">
        <v>8</v>
      </c>
      <c r="F765" s="294">
        <v>27.2</v>
      </c>
      <c r="G765" s="294">
        <v>18.100000000000001</v>
      </c>
      <c r="H765" s="294"/>
      <c r="I765" s="294"/>
      <c r="J765" s="294"/>
      <c r="K765" s="294">
        <f t="shared" si="106"/>
        <v>1.8472</v>
      </c>
      <c r="L765" s="294">
        <f t="shared" si="107"/>
        <v>0.75712202532428419</v>
      </c>
      <c r="M765" s="297">
        <f t="shared" si="120"/>
        <v>6.312416000083374</v>
      </c>
      <c r="N765" s="294">
        <v>1</v>
      </c>
      <c r="O765" s="294">
        <f t="shared" si="114"/>
        <v>6.312416000083374</v>
      </c>
      <c r="P765" s="294"/>
    </row>
    <row r="766" spans="1:16">
      <c r="A766" s="294"/>
      <c r="B766" s="294" t="s">
        <v>331</v>
      </c>
      <c r="C766" s="294" t="s">
        <v>579</v>
      </c>
      <c r="D766" s="295" t="s">
        <v>1059</v>
      </c>
      <c r="E766" s="296">
        <v>9</v>
      </c>
      <c r="F766" s="294">
        <v>22.2</v>
      </c>
      <c r="G766" s="294">
        <v>14</v>
      </c>
      <c r="H766" s="294"/>
      <c r="I766" s="294"/>
      <c r="J766" s="294"/>
      <c r="K766" s="294">
        <f t="shared" si="106"/>
        <v>1.9672000000000001</v>
      </c>
      <c r="L766" s="294">
        <f t="shared" si="107"/>
        <v>0.70608430100171982</v>
      </c>
      <c r="M766" s="297">
        <f t="shared" si="120"/>
        <v>4.395025087145835</v>
      </c>
      <c r="N766" s="294">
        <v>0</v>
      </c>
      <c r="O766" s="294" t="str">
        <f t="shared" si="114"/>
        <v/>
      </c>
      <c r="P766" s="294"/>
    </row>
    <row r="767" spans="1:16">
      <c r="A767" s="294"/>
      <c r="B767" s="294" t="s">
        <v>331</v>
      </c>
      <c r="C767" s="294" t="s">
        <v>579</v>
      </c>
      <c r="D767" s="295" t="s">
        <v>1059</v>
      </c>
      <c r="E767" s="296">
        <v>10</v>
      </c>
      <c r="F767" s="294">
        <v>17.2</v>
      </c>
      <c r="G767" s="294">
        <v>14.9</v>
      </c>
      <c r="H767" s="294"/>
      <c r="I767" s="294"/>
      <c r="J767" s="294"/>
      <c r="K767" s="294">
        <f t="shared" si="106"/>
        <v>2.0872000000000002</v>
      </c>
      <c r="L767" s="294">
        <f t="shared" si="107"/>
        <v>0.64708539575733404</v>
      </c>
      <c r="M767" s="297">
        <f t="shared" si="120"/>
        <v>4.0701243243695888</v>
      </c>
      <c r="N767" s="294">
        <v>0</v>
      </c>
      <c r="O767" s="294" t="str">
        <f t="shared" si="114"/>
        <v/>
      </c>
      <c r="P767" s="294"/>
    </row>
    <row r="768" spans="1:16">
      <c r="A768" s="294"/>
      <c r="B768" s="294" t="s">
        <v>331</v>
      </c>
      <c r="C768" s="294" t="s">
        <v>579</v>
      </c>
      <c r="D768" s="295" t="s">
        <v>1059</v>
      </c>
      <c r="E768" s="296">
        <v>11</v>
      </c>
      <c r="F768" s="294">
        <v>12.6</v>
      </c>
      <c r="G768" s="294">
        <v>8.4</v>
      </c>
      <c r="H768" s="294"/>
      <c r="I768" s="294"/>
      <c r="J768" s="294"/>
      <c r="K768" s="294">
        <f t="shared" si="106"/>
        <v>2.1976</v>
      </c>
      <c r="L768" s="294">
        <f t="shared" si="107"/>
        <v>0.58683640404243798</v>
      </c>
      <c r="M768" s="297">
        <f t="shared" si="120"/>
        <v>2.1667191759005915</v>
      </c>
      <c r="N768" s="294">
        <v>0</v>
      </c>
      <c r="O768" s="294" t="str">
        <f t="shared" si="114"/>
        <v/>
      </c>
      <c r="P768" s="294"/>
    </row>
    <row r="769" spans="1:16">
      <c r="A769" s="294"/>
      <c r="B769" s="294" t="s">
        <v>331</v>
      </c>
      <c r="C769" s="294" t="s">
        <v>579</v>
      </c>
      <c r="D769" s="295" t="s">
        <v>1059</v>
      </c>
      <c r="E769" s="296">
        <v>12</v>
      </c>
      <c r="F769" s="294">
        <v>7.5</v>
      </c>
      <c r="G769" s="294">
        <v>9.5</v>
      </c>
      <c r="H769" s="294"/>
      <c r="I769" s="294"/>
      <c r="J769" s="294"/>
      <c r="K769" s="294">
        <f t="shared" si="106"/>
        <v>2.3199999999999998</v>
      </c>
      <c r="L769" s="294">
        <f t="shared" si="107"/>
        <v>0.51546248616696222</v>
      </c>
      <c r="M769" s="297">
        <f t="shared" si="120"/>
        <v>2.0606947364170258</v>
      </c>
      <c r="N769" s="294">
        <v>0</v>
      </c>
      <c r="O769" s="294" t="str">
        <f t="shared" si="114"/>
        <v/>
      </c>
      <c r="P769" s="294"/>
    </row>
    <row r="770" spans="1:16">
      <c r="A770" s="294">
        <v>65</v>
      </c>
      <c r="B770" s="294" t="s">
        <v>331</v>
      </c>
      <c r="C770" s="294" t="s">
        <v>580</v>
      </c>
      <c r="D770" s="295" t="s">
        <v>1059</v>
      </c>
      <c r="E770" s="296">
        <v>1</v>
      </c>
      <c r="F770" s="294">
        <v>0.3</v>
      </c>
      <c r="G770" s="308">
        <f t="shared" ref="G770:G781" si="121">$T$11+$T$12*H770+INDEX($T$13:$T$24,MATCH(E770,$S$13:$S$24,0),1)</f>
        <v>11.736255070000002</v>
      </c>
      <c r="H770" s="294">
        <v>213.9</v>
      </c>
      <c r="I770" s="306">
        <v>0.91400000000000003</v>
      </c>
      <c r="J770" s="307">
        <v>0.4</v>
      </c>
      <c r="K770" s="294">
        <f t="shared" si="106"/>
        <v>2.4927999999999999</v>
      </c>
      <c r="L770" s="294">
        <f t="shared" si="107"/>
        <v>0.41239486549182131</v>
      </c>
      <c r="M770" s="309">
        <f>$I$770*L770*(G770/K770)+$J$770</f>
        <v>2.1746043792149017</v>
      </c>
      <c r="N770" s="294">
        <v>0</v>
      </c>
      <c r="O770" s="294" t="str">
        <f t="shared" ref="O770:O833" si="122">IF(N770*M770=0,"",N770*M770)</f>
        <v/>
      </c>
      <c r="P770" s="294">
        <f>AVERAGE(O770:O781)</f>
        <v>5.5828350705905034</v>
      </c>
    </row>
    <row r="771" spans="1:16">
      <c r="A771" s="294"/>
      <c r="B771" s="294" t="s">
        <v>331</v>
      </c>
      <c r="C771" s="294" t="s">
        <v>580</v>
      </c>
      <c r="D771" s="295" t="s">
        <v>1059</v>
      </c>
      <c r="E771" s="296">
        <v>2</v>
      </c>
      <c r="F771" s="294">
        <v>0.4</v>
      </c>
      <c r="G771" s="308">
        <f t="shared" si="121"/>
        <v>13.72861445</v>
      </c>
      <c r="H771" s="294">
        <v>204.5</v>
      </c>
      <c r="I771" s="297"/>
      <c r="J771" s="297"/>
      <c r="K771" s="294">
        <f t="shared" si="106"/>
        <v>2.4904000000000002</v>
      </c>
      <c r="L771" s="294">
        <f t="shared" si="107"/>
        <v>0.41380771688409085</v>
      </c>
      <c r="M771" s="309">
        <f t="shared" ref="M771:M781" si="123">$I$770*L771*(G771/K771)+$J$770</f>
        <v>2.4849823457293225</v>
      </c>
      <c r="N771" s="294">
        <v>0</v>
      </c>
      <c r="O771" s="294" t="str">
        <f t="shared" si="122"/>
        <v/>
      </c>
      <c r="P771" s="294"/>
    </row>
    <row r="772" spans="1:16">
      <c r="A772" s="294"/>
      <c r="B772" s="294" t="s">
        <v>331</v>
      </c>
      <c r="C772" s="294" t="s">
        <v>580</v>
      </c>
      <c r="D772" s="295" t="s">
        <v>1059</v>
      </c>
      <c r="E772" s="296">
        <v>3</v>
      </c>
      <c r="F772" s="294">
        <v>4.9000000000000004</v>
      </c>
      <c r="G772" s="308">
        <f t="shared" si="121"/>
        <v>15.197329070000002</v>
      </c>
      <c r="H772" s="294">
        <v>200.9</v>
      </c>
      <c r="I772" s="297"/>
      <c r="J772" s="297"/>
      <c r="K772" s="294">
        <f t="shared" si="106"/>
        <v>2.3824000000000001</v>
      </c>
      <c r="L772" s="294">
        <f t="shared" si="107"/>
        <v>0.47816140006637126</v>
      </c>
      <c r="M772" s="309">
        <f t="shared" si="123"/>
        <v>3.1878749986894883</v>
      </c>
      <c r="N772" s="294">
        <v>0</v>
      </c>
      <c r="O772" s="294" t="str">
        <f t="shared" si="122"/>
        <v/>
      </c>
      <c r="P772" s="294"/>
    </row>
    <row r="773" spans="1:16">
      <c r="A773" s="294"/>
      <c r="B773" s="294" t="s">
        <v>331</v>
      </c>
      <c r="C773" s="294" t="s">
        <v>580</v>
      </c>
      <c r="D773" s="295" t="s">
        <v>1059</v>
      </c>
      <c r="E773" s="296">
        <v>4</v>
      </c>
      <c r="F773" s="294">
        <v>10.4</v>
      </c>
      <c r="G773" s="308">
        <f t="shared" si="121"/>
        <v>14.46961804</v>
      </c>
      <c r="H773" s="294">
        <v>142.80000000000001</v>
      </c>
      <c r="I773" s="297"/>
      <c r="J773" s="297"/>
      <c r="K773" s="294">
        <f t="shared" si="106"/>
        <v>2.2504</v>
      </c>
      <c r="L773" s="294">
        <f t="shared" si="107"/>
        <v>0.55648248816913681</v>
      </c>
      <c r="M773" s="309">
        <f t="shared" si="123"/>
        <v>3.6703561106812979</v>
      </c>
      <c r="N773" s="294">
        <v>0</v>
      </c>
      <c r="O773" s="294" t="str">
        <f t="shared" si="122"/>
        <v/>
      </c>
      <c r="P773" s="294"/>
    </row>
    <row r="774" spans="1:16">
      <c r="A774" s="294"/>
      <c r="B774" s="294" t="s">
        <v>331</v>
      </c>
      <c r="C774" s="294" t="s">
        <v>580</v>
      </c>
      <c r="D774" s="295" t="s">
        <v>1059</v>
      </c>
      <c r="E774" s="296">
        <v>5</v>
      </c>
      <c r="F774" s="294">
        <v>16</v>
      </c>
      <c r="G774" s="308">
        <f t="shared" si="121"/>
        <v>20.592129270000001</v>
      </c>
      <c r="H774" s="294">
        <v>237.9</v>
      </c>
      <c r="I774" s="297"/>
      <c r="J774" s="297"/>
      <c r="K774" s="294">
        <f t="shared" si="106"/>
        <v>2.1160000000000001</v>
      </c>
      <c r="L774" s="294">
        <f t="shared" si="107"/>
        <v>0.63185951626122749</v>
      </c>
      <c r="M774" s="309">
        <f t="shared" si="123"/>
        <v>6.0202070960058656</v>
      </c>
      <c r="N774" s="294">
        <v>0</v>
      </c>
      <c r="O774" s="294" t="str">
        <f t="shared" si="122"/>
        <v/>
      </c>
      <c r="P774" s="294"/>
    </row>
    <row r="775" spans="1:16">
      <c r="A775" s="294"/>
      <c r="B775" s="294" t="s">
        <v>331</v>
      </c>
      <c r="C775" s="294" t="s">
        <v>580</v>
      </c>
      <c r="D775" s="295" t="s">
        <v>1059</v>
      </c>
      <c r="E775" s="296">
        <v>6</v>
      </c>
      <c r="F775" s="294">
        <v>17.2</v>
      </c>
      <c r="G775" s="308">
        <f t="shared" si="121"/>
        <v>14.876670650000001</v>
      </c>
      <c r="H775" s="294">
        <v>110.5</v>
      </c>
      <c r="I775" s="297"/>
      <c r="J775" s="297"/>
      <c r="K775" s="294">
        <f t="shared" si="106"/>
        <v>2.0872000000000002</v>
      </c>
      <c r="L775" s="294">
        <f t="shared" si="107"/>
        <v>0.64708539575733404</v>
      </c>
      <c r="M775" s="309">
        <f t="shared" si="123"/>
        <v>4.6155037140703268</v>
      </c>
      <c r="N775" s="294">
        <v>0</v>
      </c>
      <c r="O775" s="294" t="str">
        <f t="shared" si="122"/>
        <v/>
      </c>
      <c r="P775" s="294"/>
    </row>
    <row r="776" spans="1:16">
      <c r="A776" s="294"/>
      <c r="B776" s="294" t="s">
        <v>331</v>
      </c>
      <c r="C776" s="294" t="s">
        <v>580</v>
      </c>
      <c r="D776" s="295" t="s">
        <v>1059</v>
      </c>
      <c r="E776" s="296">
        <v>7</v>
      </c>
      <c r="F776" s="294">
        <v>22.1</v>
      </c>
      <c r="G776" s="308">
        <f t="shared" si="121"/>
        <v>16.442375409999997</v>
      </c>
      <c r="H776" s="294">
        <v>153.69999999999999</v>
      </c>
      <c r="I776" s="297"/>
      <c r="J776" s="297"/>
      <c r="K776" s="294">
        <f t="shared" si="106"/>
        <v>1.9695999999999998</v>
      </c>
      <c r="L776" s="294">
        <f t="shared" si="107"/>
        <v>0.70497978087041202</v>
      </c>
      <c r="M776" s="309">
        <f t="shared" si="123"/>
        <v>5.7790970670020299</v>
      </c>
      <c r="N776" s="294">
        <v>1</v>
      </c>
      <c r="O776" s="294">
        <f t="shared" si="122"/>
        <v>5.7790970670020299</v>
      </c>
      <c r="P776" s="294"/>
    </row>
    <row r="777" spans="1:16">
      <c r="A777" s="294"/>
      <c r="B777" s="294" t="s">
        <v>331</v>
      </c>
      <c r="C777" s="294" t="s">
        <v>580</v>
      </c>
      <c r="D777" s="295" t="s">
        <v>1059</v>
      </c>
      <c r="E777" s="296">
        <v>8</v>
      </c>
      <c r="F777" s="294">
        <v>22.3</v>
      </c>
      <c r="G777" s="308">
        <f t="shared" si="121"/>
        <v>15.157966029999999</v>
      </c>
      <c r="H777" s="294">
        <v>142.1</v>
      </c>
      <c r="I777" s="297"/>
      <c r="J777" s="297"/>
      <c r="K777" s="294">
        <f t="shared" si="106"/>
        <v>1.9647999999999999</v>
      </c>
      <c r="L777" s="294">
        <f t="shared" si="107"/>
        <v>0.70718560508058281</v>
      </c>
      <c r="M777" s="309">
        <f t="shared" si="123"/>
        <v>5.386573074178977</v>
      </c>
      <c r="N777" s="294">
        <v>1</v>
      </c>
      <c r="O777" s="294">
        <f t="shared" si="122"/>
        <v>5.386573074178977</v>
      </c>
      <c r="P777" s="294"/>
    </row>
    <row r="778" spans="1:16">
      <c r="A778" s="294"/>
      <c r="B778" s="294" t="s">
        <v>331</v>
      </c>
      <c r="C778" s="294" t="s">
        <v>580</v>
      </c>
      <c r="D778" s="295" t="s">
        <v>1059</v>
      </c>
      <c r="E778" s="296">
        <v>9</v>
      </c>
      <c r="F778" s="294">
        <v>17.8</v>
      </c>
      <c r="G778" s="308">
        <f t="shared" si="121"/>
        <v>11.77677358</v>
      </c>
      <c r="H778" s="294">
        <v>106.6</v>
      </c>
      <c r="I778" s="297"/>
      <c r="J778" s="297"/>
      <c r="K778" s="294">
        <f t="shared" si="106"/>
        <v>2.0728</v>
      </c>
      <c r="L778" s="294">
        <f t="shared" si="107"/>
        <v>0.65455327559795284</v>
      </c>
      <c r="M778" s="309">
        <f t="shared" si="123"/>
        <v>3.7990701035346826</v>
      </c>
      <c r="N778" s="294">
        <v>0</v>
      </c>
      <c r="O778" s="294" t="str">
        <f t="shared" si="122"/>
        <v/>
      </c>
      <c r="P778" s="294"/>
    </row>
    <row r="779" spans="1:16">
      <c r="A779" s="294"/>
      <c r="B779" s="294" t="s">
        <v>331</v>
      </c>
      <c r="C779" s="294" t="s">
        <v>580</v>
      </c>
      <c r="D779" s="295" t="s">
        <v>1059</v>
      </c>
      <c r="E779" s="296">
        <v>10</v>
      </c>
      <c r="F779" s="294">
        <v>12.8</v>
      </c>
      <c r="G779" s="308">
        <f t="shared" si="121"/>
        <v>12.62197329</v>
      </c>
      <c r="H779" s="294">
        <v>191.3</v>
      </c>
      <c r="I779" s="297"/>
      <c r="J779" s="297"/>
      <c r="K779" s="294">
        <f t="shared" si="106"/>
        <v>2.1928000000000001</v>
      </c>
      <c r="L779" s="294">
        <f t="shared" si="107"/>
        <v>0.58955346412535858</v>
      </c>
      <c r="M779" s="309">
        <f t="shared" si="123"/>
        <v>3.5016845414887658</v>
      </c>
      <c r="N779" s="294">
        <v>0</v>
      </c>
      <c r="O779" s="294" t="str">
        <f t="shared" si="122"/>
        <v/>
      </c>
      <c r="P779" s="294"/>
    </row>
    <row r="780" spans="1:16">
      <c r="A780" s="294"/>
      <c r="B780" s="294" t="s">
        <v>331</v>
      </c>
      <c r="C780" s="294" t="s">
        <v>580</v>
      </c>
      <c r="D780" s="295" t="s">
        <v>1059</v>
      </c>
      <c r="E780" s="296">
        <v>11</v>
      </c>
      <c r="F780" s="294">
        <v>9</v>
      </c>
      <c r="G780" s="308">
        <f t="shared" si="121"/>
        <v>7.7601214799999987</v>
      </c>
      <c r="H780" s="294">
        <v>113.6</v>
      </c>
      <c r="I780" s="297"/>
      <c r="J780" s="297"/>
      <c r="K780" s="294">
        <f t="shared" si="106"/>
        <v>2.2839999999999998</v>
      </c>
      <c r="L780" s="294">
        <f t="shared" si="107"/>
        <v>0.53679291860732048</v>
      </c>
      <c r="M780" s="309">
        <f t="shared" si="123"/>
        <v>2.0669608265362762</v>
      </c>
      <c r="N780" s="294">
        <v>0</v>
      </c>
      <c r="O780" s="294" t="str">
        <f t="shared" si="122"/>
        <v/>
      </c>
      <c r="P780" s="294"/>
    </row>
    <row r="781" spans="1:16">
      <c r="A781" s="294"/>
      <c r="B781" s="294" t="s">
        <v>331</v>
      </c>
      <c r="C781" s="294" t="s">
        <v>580</v>
      </c>
      <c r="D781" s="295" t="s">
        <v>1059</v>
      </c>
      <c r="E781" s="296">
        <v>12</v>
      </c>
      <c r="F781" s="294">
        <v>4.4000000000000004</v>
      </c>
      <c r="G781" s="308">
        <f t="shared" si="121"/>
        <v>10.302220609999999</v>
      </c>
      <c r="H781" s="294">
        <v>197.7</v>
      </c>
      <c r="I781" s="297"/>
      <c r="J781" s="297"/>
      <c r="K781" s="294">
        <f t="shared" si="106"/>
        <v>2.3944000000000001</v>
      </c>
      <c r="L781" s="294">
        <f t="shared" si="107"/>
        <v>0.47097114415321184</v>
      </c>
      <c r="M781" s="309">
        <f t="shared" si="123"/>
        <v>2.2521435207156686</v>
      </c>
      <c r="N781" s="294">
        <v>0</v>
      </c>
      <c r="O781" s="294" t="str">
        <f t="shared" si="122"/>
        <v/>
      </c>
      <c r="P781" s="294"/>
    </row>
    <row r="782" spans="1:16">
      <c r="A782" s="294">
        <v>66</v>
      </c>
      <c r="B782" s="294" t="s">
        <v>581</v>
      </c>
      <c r="C782" s="294" t="s">
        <v>581</v>
      </c>
      <c r="D782" s="295" t="s">
        <v>1059</v>
      </c>
      <c r="E782" s="296">
        <v>1</v>
      </c>
      <c r="F782" s="294">
        <v>-0.4</v>
      </c>
      <c r="G782" s="294">
        <v>8.1999999999999993</v>
      </c>
      <c r="H782" s="294"/>
      <c r="I782" s="294">
        <v>1.0389999999999999</v>
      </c>
      <c r="J782" s="294">
        <v>-0.23</v>
      </c>
      <c r="K782" s="294">
        <f t="shared" si="106"/>
        <v>2.5095999999999998</v>
      </c>
      <c r="L782" s="294">
        <f t="shared" si="107"/>
        <v>0.40253826064384984</v>
      </c>
      <c r="M782" s="297">
        <f t="shared" ref="M782:M793" si="124">$I$782*L782*(G782/K782)+$J$782</f>
        <v>1.1365705582696333</v>
      </c>
      <c r="N782" s="294">
        <v>0</v>
      </c>
      <c r="O782" s="294" t="str">
        <f t="shared" si="122"/>
        <v/>
      </c>
      <c r="P782" s="294">
        <f>AVERAGE(O782:O793)</f>
        <v>6.8732690020654887</v>
      </c>
    </row>
    <row r="783" spans="1:16">
      <c r="A783" s="294"/>
      <c r="B783" s="294" t="s">
        <v>581</v>
      </c>
      <c r="C783" s="294" t="s">
        <v>581</v>
      </c>
      <c r="D783" s="295" t="s">
        <v>1059</v>
      </c>
      <c r="E783" s="296">
        <v>2</v>
      </c>
      <c r="F783" s="294">
        <v>1.1000000000000001</v>
      </c>
      <c r="G783" s="294">
        <v>11.7</v>
      </c>
      <c r="H783" s="294"/>
      <c r="I783" s="294"/>
      <c r="J783" s="294"/>
      <c r="K783" s="294">
        <f t="shared" si="106"/>
        <v>2.4735999999999998</v>
      </c>
      <c r="L783" s="294">
        <f t="shared" si="107"/>
        <v>0.42372761415132076</v>
      </c>
      <c r="M783" s="297">
        <f t="shared" si="124"/>
        <v>1.8523738663921816</v>
      </c>
      <c r="N783" s="294">
        <v>0</v>
      </c>
      <c r="O783" s="294" t="str">
        <f t="shared" si="122"/>
        <v/>
      </c>
      <c r="P783" s="294"/>
    </row>
    <row r="784" spans="1:16">
      <c r="A784" s="294"/>
      <c r="B784" s="294" t="s">
        <v>581</v>
      </c>
      <c r="C784" s="294" t="s">
        <v>581</v>
      </c>
      <c r="D784" s="295" t="s">
        <v>1059</v>
      </c>
      <c r="E784" s="296">
        <v>3</v>
      </c>
      <c r="F784" s="294">
        <v>5.4</v>
      </c>
      <c r="G784" s="294">
        <v>15.2</v>
      </c>
      <c r="H784" s="294"/>
      <c r="I784" s="294"/>
      <c r="J784" s="294"/>
      <c r="K784" s="294">
        <f t="shared" si="106"/>
        <v>2.3704000000000001</v>
      </c>
      <c r="L784" s="294">
        <f t="shared" si="107"/>
        <v>0.48535075735081867</v>
      </c>
      <c r="M784" s="297">
        <f t="shared" si="124"/>
        <v>3.003651468397742</v>
      </c>
      <c r="N784" s="294">
        <v>0</v>
      </c>
      <c r="O784" s="294" t="str">
        <f t="shared" si="122"/>
        <v/>
      </c>
      <c r="P784" s="294"/>
    </row>
    <row r="785" spans="1:16">
      <c r="A785" s="294"/>
      <c r="B785" s="294" t="s">
        <v>581</v>
      </c>
      <c r="C785" s="294" t="s">
        <v>581</v>
      </c>
      <c r="D785" s="295" t="s">
        <v>1059</v>
      </c>
      <c r="E785" s="296">
        <v>4</v>
      </c>
      <c r="F785" s="294">
        <v>11.7</v>
      </c>
      <c r="G785" s="294">
        <v>16.100000000000001</v>
      </c>
      <c r="H785" s="294"/>
      <c r="I785" s="294"/>
      <c r="J785" s="294"/>
      <c r="K785" s="294">
        <f t="shared" si="106"/>
        <v>2.2191999999999998</v>
      </c>
      <c r="L785" s="294">
        <f t="shared" si="107"/>
        <v>0.57451755988603115</v>
      </c>
      <c r="M785" s="297">
        <f t="shared" si="124"/>
        <v>4.1006021494311193</v>
      </c>
      <c r="N785" s="294">
        <v>0</v>
      </c>
      <c r="O785" s="294" t="str">
        <f t="shared" si="122"/>
        <v/>
      </c>
      <c r="P785" s="294"/>
    </row>
    <row r="786" spans="1:16">
      <c r="A786" s="294"/>
      <c r="B786" s="294" t="s">
        <v>581</v>
      </c>
      <c r="C786" s="294" t="s">
        <v>581</v>
      </c>
      <c r="D786" s="295" t="s">
        <v>1059</v>
      </c>
      <c r="E786" s="296">
        <v>5</v>
      </c>
      <c r="F786" s="294">
        <v>18.3</v>
      </c>
      <c r="G786" s="294">
        <v>23.7</v>
      </c>
      <c r="H786" s="294"/>
      <c r="I786" s="294"/>
      <c r="J786" s="294"/>
      <c r="K786" s="294">
        <f t="shared" si="106"/>
        <v>2.0608</v>
      </c>
      <c r="L786" s="294">
        <f t="shared" si="107"/>
        <v>0.66069972168755697</v>
      </c>
      <c r="M786" s="297">
        <f t="shared" si="124"/>
        <v>7.6646371102246249</v>
      </c>
      <c r="N786" s="294">
        <v>0</v>
      </c>
      <c r="O786" s="294" t="str">
        <f t="shared" si="122"/>
        <v/>
      </c>
      <c r="P786" s="294"/>
    </row>
    <row r="787" spans="1:16">
      <c r="A787" s="294"/>
      <c r="B787" s="294" t="s">
        <v>581</v>
      </c>
      <c r="C787" s="294" t="s">
        <v>581</v>
      </c>
      <c r="D787" s="295" t="s">
        <v>1059</v>
      </c>
      <c r="E787" s="296">
        <v>6</v>
      </c>
      <c r="F787" s="294">
        <v>20.3</v>
      </c>
      <c r="G787" s="294">
        <v>18.8</v>
      </c>
      <c r="H787" s="294"/>
      <c r="I787" s="294"/>
      <c r="J787" s="294"/>
      <c r="K787" s="294">
        <f t="shared" si="106"/>
        <v>2.0127999999999999</v>
      </c>
      <c r="L787" s="294">
        <f t="shared" si="107"/>
        <v>0.6845562077113948</v>
      </c>
      <c r="M787" s="297">
        <f t="shared" si="124"/>
        <v>6.4132697319496312</v>
      </c>
      <c r="N787" s="294">
        <v>0</v>
      </c>
      <c r="O787" s="294" t="str">
        <f t="shared" si="122"/>
        <v/>
      </c>
      <c r="P787" s="294"/>
    </row>
    <row r="788" spans="1:16">
      <c r="A788" s="294"/>
      <c r="B788" s="294" t="s">
        <v>581</v>
      </c>
      <c r="C788" s="294" t="s">
        <v>581</v>
      </c>
      <c r="D788" s="295" t="s">
        <v>1059</v>
      </c>
      <c r="E788" s="296">
        <v>7</v>
      </c>
      <c r="F788" s="294">
        <v>24.8</v>
      </c>
      <c r="G788" s="294">
        <v>18.600000000000001</v>
      </c>
      <c r="H788" s="294"/>
      <c r="I788" s="294"/>
      <c r="J788" s="294"/>
      <c r="K788" s="294">
        <f t="shared" si="106"/>
        <v>1.9047999999999998</v>
      </c>
      <c r="L788" s="294">
        <f t="shared" si="107"/>
        <v>0.73365813797851909</v>
      </c>
      <c r="M788" s="297">
        <f t="shared" si="124"/>
        <v>7.2134255458263716</v>
      </c>
      <c r="N788" s="294">
        <v>1</v>
      </c>
      <c r="O788" s="294">
        <f t="shared" si="122"/>
        <v>7.2134255458263716</v>
      </c>
      <c r="P788" s="294"/>
    </row>
    <row r="789" spans="1:16">
      <c r="A789" s="294"/>
      <c r="B789" s="294" t="s">
        <v>581</v>
      </c>
      <c r="C789" s="294" t="s">
        <v>581</v>
      </c>
      <c r="D789" s="295" t="s">
        <v>1059</v>
      </c>
      <c r="E789" s="296">
        <v>8</v>
      </c>
      <c r="F789" s="294">
        <v>24.8</v>
      </c>
      <c r="G789" s="294">
        <v>16.899999999999999</v>
      </c>
      <c r="H789" s="294"/>
      <c r="I789" s="294"/>
      <c r="J789" s="294"/>
      <c r="K789" s="294">
        <f t="shared" si="106"/>
        <v>1.9047999999999998</v>
      </c>
      <c r="L789" s="294">
        <f t="shared" si="107"/>
        <v>0.73365813797851909</v>
      </c>
      <c r="M789" s="297">
        <f t="shared" si="124"/>
        <v>6.5331124583046059</v>
      </c>
      <c r="N789" s="294">
        <v>1</v>
      </c>
      <c r="O789" s="294">
        <f t="shared" si="122"/>
        <v>6.5331124583046059</v>
      </c>
      <c r="P789" s="294"/>
    </row>
    <row r="790" spans="1:16">
      <c r="A790" s="294"/>
      <c r="B790" s="294" t="s">
        <v>581</v>
      </c>
      <c r="C790" s="294" t="s">
        <v>581</v>
      </c>
      <c r="D790" s="295" t="s">
        <v>1059</v>
      </c>
      <c r="E790" s="296">
        <v>9</v>
      </c>
      <c r="F790" s="294">
        <v>19.600000000000001</v>
      </c>
      <c r="G790" s="294">
        <v>14</v>
      </c>
      <c r="H790" s="294"/>
      <c r="I790" s="294"/>
      <c r="J790" s="294"/>
      <c r="K790" s="294">
        <f t="shared" si="106"/>
        <v>2.0295999999999998</v>
      </c>
      <c r="L790" s="294">
        <f t="shared" si="107"/>
        <v>0.67634220580418636</v>
      </c>
      <c r="M790" s="297">
        <f t="shared" si="124"/>
        <v>4.6172968691504206</v>
      </c>
      <c r="N790" s="294">
        <v>0</v>
      </c>
      <c r="O790" s="294" t="str">
        <f t="shared" si="122"/>
        <v/>
      </c>
      <c r="P790" s="294"/>
    </row>
    <row r="791" spans="1:16">
      <c r="A791" s="294"/>
      <c r="B791" s="294" t="s">
        <v>581</v>
      </c>
      <c r="C791" s="294" t="s">
        <v>581</v>
      </c>
      <c r="D791" s="295" t="s">
        <v>1059</v>
      </c>
      <c r="E791" s="296">
        <v>10</v>
      </c>
      <c r="F791" s="294">
        <v>13.9</v>
      </c>
      <c r="G791" s="294">
        <v>14.6</v>
      </c>
      <c r="H791" s="294"/>
      <c r="I791" s="294"/>
      <c r="J791" s="294"/>
      <c r="K791" s="294">
        <f t="shared" si="106"/>
        <v>2.1663999999999999</v>
      </c>
      <c r="L791" s="294">
        <f t="shared" si="107"/>
        <v>0.60435349971924368</v>
      </c>
      <c r="M791" s="297">
        <f t="shared" si="124"/>
        <v>4.001757744941421</v>
      </c>
      <c r="N791" s="294">
        <v>0</v>
      </c>
      <c r="O791" s="294" t="str">
        <f t="shared" si="122"/>
        <v/>
      </c>
      <c r="P791" s="294"/>
    </row>
    <row r="792" spans="1:16">
      <c r="A792" s="294"/>
      <c r="B792" s="294" t="s">
        <v>581</v>
      </c>
      <c r="C792" s="294" t="s">
        <v>581</v>
      </c>
      <c r="D792" s="295" t="s">
        <v>1059</v>
      </c>
      <c r="E792" s="296">
        <v>11</v>
      </c>
      <c r="F792" s="294">
        <v>10.199999999999999</v>
      </c>
      <c r="G792" s="294">
        <v>7.8</v>
      </c>
      <c r="H792" s="294"/>
      <c r="I792" s="294"/>
      <c r="J792" s="294"/>
      <c r="K792" s="294">
        <f t="shared" si="106"/>
        <v>2.2551999999999999</v>
      </c>
      <c r="L792" s="294">
        <f t="shared" si="107"/>
        <v>0.55368525424125736</v>
      </c>
      <c r="M792" s="297">
        <f t="shared" si="124"/>
        <v>1.7597020385872642</v>
      </c>
      <c r="N792" s="294">
        <v>0</v>
      </c>
      <c r="O792" s="294" t="str">
        <f t="shared" si="122"/>
        <v/>
      </c>
      <c r="P792" s="294"/>
    </row>
    <row r="793" spans="1:16">
      <c r="A793" s="294"/>
      <c r="B793" s="294" t="s">
        <v>581</v>
      </c>
      <c r="C793" s="294" t="s">
        <v>581</v>
      </c>
      <c r="D793" s="295" t="s">
        <v>1059</v>
      </c>
      <c r="E793" s="296">
        <v>12</v>
      </c>
      <c r="F793" s="294">
        <v>4.3</v>
      </c>
      <c r="G793" s="294">
        <v>7.6</v>
      </c>
      <c r="H793" s="294"/>
      <c r="I793" s="294"/>
      <c r="J793" s="294"/>
      <c r="K793" s="294">
        <f t="shared" si="106"/>
        <v>2.3967999999999998</v>
      </c>
      <c r="L793" s="294">
        <f t="shared" si="107"/>
        <v>0.46953327364651853</v>
      </c>
      <c r="M793" s="297">
        <f t="shared" si="124"/>
        <v>1.316905266197584</v>
      </c>
      <c r="N793" s="294">
        <v>0</v>
      </c>
      <c r="O793" s="294" t="str">
        <f t="shared" si="122"/>
        <v/>
      </c>
      <c r="P793" s="294"/>
    </row>
    <row r="794" spans="1:16">
      <c r="A794" s="294">
        <v>67</v>
      </c>
      <c r="B794" s="294" t="s">
        <v>333</v>
      </c>
      <c r="C794" s="294" t="s">
        <v>334</v>
      </c>
      <c r="D794" s="295" t="s">
        <v>1060</v>
      </c>
      <c r="E794" s="296">
        <v>1</v>
      </c>
      <c r="F794" s="294">
        <v>-0.9</v>
      </c>
      <c r="G794" s="308">
        <f t="shared" ref="G794:G825" si="125">$T$11+$T$12*H794+INDEX($T$13:$T$24,MATCH(E794,$S$13:$S$24,0),1)</f>
        <v>9.24634936</v>
      </c>
      <c r="H794" s="294">
        <v>159.19999999999999</v>
      </c>
      <c r="I794" s="306">
        <v>0.99</v>
      </c>
      <c r="J794" s="307">
        <v>0.19</v>
      </c>
      <c r="K794" s="294">
        <f t="shared" si="106"/>
        <v>2.5215999999999998</v>
      </c>
      <c r="L794" s="294">
        <f t="shared" si="107"/>
        <v>0.39553668446706691</v>
      </c>
      <c r="M794" s="309">
        <f>$I$794*L794*(G794/K794)+$J$794</f>
        <v>1.6258731224562977</v>
      </c>
      <c r="N794" s="294">
        <v>0</v>
      </c>
      <c r="O794" s="294" t="str">
        <f t="shared" si="122"/>
        <v/>
      </c>
      <c r="P794" s="294">
        <f>AVERAGE(O794:O805)</f>
        <v>6.7634462394450843</v>
      </c>
    </row>
    <row r="795" spans="1:16">
      <c r="A795" s="294"/>
      <c r="B795" s="294" t="s">
        <v>333</v>
      </c>
      <c r="C795" s="294" t="s">
        <v>334</v>
      </c>
      <c r="D795" s="295" t="s">
        <v>1060</v>
      </c>
      <c r="E795" s="296">
        <v>2</v>
      </c>
      <c r="F795" s="294">
        <v>1.1000000000000001</v>
      </c>
      <c r="G795" s="308">
        <f t="shared" si="125"/>
        <v>12.563320370000001</v>
      </c>
      <c r="H795" s="294">
        <v>178.9</v>
      </c>
      <c r="I795" s="297"/>
      <c r="J795" s="297"/>
      <c r="K795" s="294">
        <f t="shared" si="106"/>
        <v>2.4735999999999998</v>
      </c>
      <c r="L795" s="294">
        <f t="shared" si="107"/>
        <v>0.42372761415132076</v>
      </c>
      <c r="M795" s="309">
        <f t="shared" ref="M795:M805" si="126">$I$794*L795*(G795/K795)+$J$794</f>
        <v>2.3205754804886811</v>
      </c>
      <c r="N795" s="294">
        <v>0</v>
      </c>
      <c r="O795" s="294" t="str">
        <f t="shared" si="122"/>
        <v/>
      </c>
      <c r="P795" s="294"/>
    </row>
    <row r="796" spans="1:16">
      <c r="A796" s="294"/>
      <c r="B796" s="294" t="s">
        <v>333</v>
      </c>
      <c r="C796" s="294" t="s">
        <v>334</v>
      </c>
      <c r="D796" s="295" t="s">
        <v>1060</v>
      </c>
      <c r="E796" s="296">
        <v>3</v>
      </c>
      <c r="F796" s="294">
        <v>5.7</v>
      </c>
      <c r="G796" s="308">
        <f t="shared" si="125"/>
        <v>15.147257840000002</v>
      </c>
      <c r="H796" s="294">
        <v>199.8</v>
      </c>
      <c r="I796" s="297"/>
      <c r="J796" s="297"/>
      <c r="K796" s="294">
        <f t="shared" si="106"/>
        <v>2.3632</v>
      </c>
      <c r="L796" s="294">
        <f t="shared" si="107"/>
        <v>0.48966257712415773</v>
      </c>
      <c r="M796" s="309">
        <f t="shared" si="126"/>
        <v>3.2971745333427211</v>
      </c>
      <c r="N796" s="294">
        <v>0</v>
      </c>
      <c r="O796" s="294" t="str">
        <f t="shared" si="122"/>
        <v/>
      </c>
      <c r="P796" s="294"/>
    </row>
    <row r="797" spans="1:16">
      <c r="A797" s="294"/>
      <c r="B797" s="294" t="s">
        <v>333</v>
      </c>
      <c r="C797" s="294" t="s">
        <v>334</v>
      </c>
      <c r="D797" s="295" t="s">
        <v>1060</v>
      </c>
      <c r="E797" s="296">
        <v>4</v>
      </c>
      <c r="F797" s="294">
        <v>12</v>
      </c>
      <c r="G797" s="308">
        <f t="shared" si="125"/>
        <v>15.826093180000001</v>
      </c>
      <c r="H797" s="294">
        <v>172.6</v>
      </c>
      <c r="I797" s="297"/>
      <c r="J797" s="297"/>
      <c r="K797" s="294">
        <f t="shared" si="106"/>
        <v>2.2119999999999997</v>
      </c>
      <c r="L797" s="294">
        <f t="shared" si="107"/>
        <v>0.57864007305957188</v>
      </c>
      <c r="M797" s="309">
        <f t="shared" si="126"/>
        <v>4.2885694379672543</v>
      </c>
      <c r="N797" s="294">
        <v>0</v>
      </c>
      <c r="O797" s="294" t="str">
        <f t="shared" si="122"/>
        <v/>
      </c>
      <c r="P797" s="294"/>
    </row>
    <row r="798" spans="1:16">
      <c r="A798" s="294"/>
      <c r="B798" s="294" t="s">
        <v>333</v>
      </c>
      <c r="C798" s="294" t="s">
        <v>334</v>
      </c>
      <c r="D798" s="295" t="s">
        <v>1060</v>
      </c>
      <c r="E798" s="296">
        <v>5</v>
      </c>
      <c r="F798" s="294">
        <v>18.5</v>
      </c>
      <c r="G798" s="308">
        <f t="shared" si="125"/>
        <v>21.57079422</v>
      </c>
      <c r="H798" s="294">
        <v>259.39999999999998</v>
      </c>
      <c r="I798" s="297"/>
      <c r="J798" s="297"/>
      <c r="K798" s="294">
        <f t="shared" si="106"/>
        <v>2.056</v>
      </c>
      <c r="L798" s="294">
        <f t="shared" si="107"/>
        <v>0.6631383655085662</v>
      </c>
      <c r="M798" s="309">
        <f t="shared" si="126"/>
        <v>7.0778292848028714</v>
      </c>
      <c r="N798" s="294">
        <v>0</v>
      </c>
      <c r="O798" s="294" t="str">
        <f t="shared" si="122"/>
        <v/>
      </c>
      <c r="P798" s="294"/>
    </row>
    <row r="799" spans="1:16">
      <c r="A799" s="294"/>
      <c r="B799" s="294" t="s">
        <v>333</v>
      </c>
      <c r="C799" s="294" t="s">
        <v>334</v>
      </c>
      <c r="D799" s="295" t="s">
        <v>1060</v>
      </c>
      <c r="E799" s="296">
        <v>6</v>
      </c>
      <c r="F799" s="294">
        <v>19.8</v>
      </c>
      <c r="G799" s="308">
        <f t="shared" si="125"/>
        <v>17.362024429999998</v>
      </c>
      <c r="H799" s="294">
        <v>165.1</v>
      </c>
      <c r="I799" s="297"/>
      <c r="J799" s="297"/>
      <c r="K799" s="294">
        <f t="shared" si="106"/>
        <v>2.0247999999999999</v>
      </c>
      <c r="L799" s="294">
        <f t="shared" si="107"/>
        <v>0.67870424089302206</v>
      </c>
      <c r="M799" s="309">
        <f t="shared" si="126"/>
        <v>5.9514790670772229</v>
      </c>
      <c r="N799" s="294">
        <v>0</v>
      </c>
      <c r="O799" s="294" t="str">
        <f t="shared" si="122"/>
        <v/>
      </c>
      <c r="P799" s="294"/>
    </row>
    <row r="800" spans="1:16">
      <c r="A800" s="294"/>
      <c r="B800" s="294" t="s">
        <v>333</v>
      </c>
      <c r="C800" s="294" t="s">
        <v>334</v>
      </c>
      <c r="D800" s="295" t="s">
        <v>1060</v>
      </c>
      <c r="E800" s="296">
        <v>7</v>
      </c>
      <c r="F800" s="294">
        <v>24.6</v>
      </c>
      <c r="G800" s="308">
        <f t="shared" si="125"/>
        <v>18.363289869999996</v>
      </c>
      <c r="H800" s="294">
        <v>195.9</v>
      </c>
      <c r="I800" s="297"/>
      <c r="J800" s="297"/>
      <c r="K800" s="294">
        <f t="shared" si="106"/>
        <v>1.9096</v>
      </c>
      <c r="L800" s="294">
        <f t="shared" si="107"/>
        <v>0.73161612092537309</v>
      </c>
      <c r="M800" s="309">
        <f t="shared" si="126"/>
        <v>7.1550869884250217</v>
      </c>
      <c r="N800" s="294">
        <v>1</v>
      </c>
      <c r="O800" s="294">
        <f t="shared" si="122"/>
        <v>7.1550869884250217</v>
      </c>
      <c r="P800" s="294"/>
    </row>
    <row r="801" spans="1:16">
      <c r="A801" s="294"/>
      <c r="B801" s="294" t="s">
        <v>333</v>
      </c>
      <c r="C801" s="294" t="s">
        <v>334</v>
      </c>
      <c r="D801" s="295" t="s">
        <v>1060</v>
      </c>
      <c r="E801" s="296">
        <v>8</v>
      </c>
      <c r="F801" s="294">
        <v>24.7</v>
      </c>
      <c r="G801" s="308">
        <f t="shared" si="125"/>
        <v>16.25498116</v>
      </c>
      <c r="H801" s="294">
        <v>166.2</v>
      </c>
      <c r="I801" s="297"/>
      <c r="J801" s="297"/>
      <c r="K801" s="294">
        <f t="shared" si="106"/>
        <v>1.9072</v>
      </c>
      <c r="L801" s="294">
        <f t="shared" si="107"/>
        <v>0.73263879001027088</v>
      </c>
      <c r="M801" s="309">
        <f t="shared" si="126"/>
        <v>6.371805490465146</v>
      </c>
      <c r="N801" s="294">
        <v>1</v>
      </c>
      <c r="O801" s="294">
        <f t="shared" si="122"/>
        <v>6.371805490465146</v>
      </c>
      <c r="P801" s="294"/>
    </row>
    <row r="802" spans="1:16">
      <c r="A802" s="294"/>
      <c r="B802" s="294" t="s">
        <v>333</v>
      </c>
      <c r="C802" s="294" t="s">
        <v>334</v>
      </c>
      <c r="D802" s="295" t="s">
        <v>1060</v>
      </c>
      <c r="E802" s="296">
        <v>9</v>
      </c>
      <c r="F802" s="294">
        <v>19.2</v>
      </c>
      <c r="G802" s="308">
        <f t="shared" si="125"/>
        <v>13.99356349</v>
      </c>
      <c r="H802" s="294">
        <v>155.30000000000001</v>
      </c>
      <c r="I802" s="297"/>
      <c r="J802" s="297"/>
      <c r="K802" s="294">
        <f t="shared" si="106"/>
        <v>2.0392000000000001</v>
      </c>
      <c r="L802" s="294">
        <f t="shared" si="107"/>
        <v>0.67158214765081492</v>
      </c>
      <c r="M802" s="309">
        <f t="shared" si="126"/>
        <v>4.7524995820337432</v>
      </c>
      <c r="N802" s="294">
        <v>0</v>
      </c>
      <c r="O802" s="294" t="str">
        <f t="shared" si="122"/>
        <v/>
      </c>
      <c r="P802" s="294"/>
    </row>
    <row r="803" spans="1:16">
      <c r="A803" s="294"/>
      <c r="B803" s="294" t="s">
        <v>333</v>
      </c>
      <c r="C803" s="294" t="s">
        <v>334</v>
      </c>
      <c r="D803" s="295" t="s">
        <v>1060</v>
      </c>
      <c r="E803" s="296">
        <v>10</v>
      </c>
      <c r="F803" s="294">
        <v>13.7</v>
      </c>
      <c r="G803" s="308">
        <f t="shared" si="125"/>
        <v>15.043600050000002</v>
      </c>
      <c r="H803" s="294">
        <v>244.5</v>
      </c>
      <c r="I803" s="297"/>
      <c r="J803" s="297"/>
      <c r="K803" s="294">
        <f t="shared" si="106"/>
        <v>2.1711999999999998</v>
      </c>
      <c r="L803" s="294">
        <f t="shared" si="107"/>
        <v>0.60168134217309577</v>
      </c>
      <c r="M803" s="309">
        <f t="shared" si="126"/>
        <v>4.3171826338003223</v>
      </c>
      <c r="N803" s="294">
        <v>0</v>
      </c>
      <c r="O803" s="294" t="str">
        <f t="shared" si="122"/>
        <v/>
      </c>
      <c r="P803" s="294"/>
    </row>
    <row r="804" spans="1:16">
      <c r="A804" s="294"/>
      <c r="B804" s="294" t="s">
        <v>333</v>
      </c>
      <c r="C804" s="294" t="s">
        <v>334</v>
      </c>
      <c r="D804" s="295" t="s">
        <v>1060</v>
      </c>
      <c r="E804" s="296">
        <v>11</v>
      </c>
      <c r="F804" s="294">
        <v>9.9</v>
      </c>
      <c r="G804" s="308">
        <f t="shared" si="125"/>
        <v>7.9421986800000006</v>
      </c>
      <c r="H804" s="294">
        <v>117.6</v>
      </c>
      <c r="I804" s="297"/>
      <c r="J804" s="297"/>
      <c r="K804" s="294">
        <f t="shared" si="106"/>
        <v>2.2624</v>
      </c>
      <c r="L804" s="294">
        <f t="shared" si="107"/>
        <v>0.54947914156562316</v>
      </c>
      <c r="M804" s="309">
        <f t="shared" si="126"/>
        <v>2.0996675157804656</v>
      </c>
      <c r="N804" s="294">
        <v>0</v>
      </c>
      <c r="O804" s="294" t="str">
        <f t="shared" si="122"/>
        <v/>
      </c>
      <c r="P804" s="294"/>
    </row>
    <row r="805" spans="1:16">
      <c r="A805" s="294"/>
      <c r="B805" s="294" t="s">
        <v>333</v>
      </c>
      <c r="C805" s="294" t="s">
        <v>334</v>
      </c>
      <c r="D805" s="295" t="s">
        <v>1060</v>
      </c>
      <c r="E805" s="296">
        <v>12</v>
      </c>
      <c r="F805" s="294">
        <v>4.5</v>
      </c>
      <c r="G805" s="308">
        <f t="shared" si="125"/>
        <v>8.3221310600000002</v>
      </c>
      <c r="H805" s="294">
        <v>154.19999999999999</v>
      </c>
      <c r="I805" s="297"/>
      <c r="J805" s="297"/>
      <c r="K805" s="294">
        <f t="shared" si="106"/>
        <v>2.3919999999999999</v>
      </c>
      <c r="L805" s="294">
        <f t="shared" si="107"/>
        <v>0.47240910985268092</v>
      </c>
      <c r="M805" s="309">
        <f t="shared" si="126"/>
        <v>1.8171471659158145</v>
      </c>
      <c r="N805" s="294">
        <v>0</v>
      </c>
      <c r="O805" s="294" t="str">
        <f t="shared" si="122"/>
        <v/>
      </c>
      <c r="P805" s="294"/>
    </row>
    <row r="806" spans="1:16">
      <c r="A806" s="294">
        <v>68</v>
      </c>
      <c r="B806" s="294" t="s">
        <v>333</v>
      </c>
      <c r="C806" s="294" t="s">
        <v>582</v>
      </c>
      <c r="D806" s="295" t="s">
        <v>1060</v>
      </c>
      <c r="E806" s="296">
        <v>1</v>
      </c>
      <c r="F806" s="294">
        <v>-1.4</v>
      </c>
      <c r="G806" s="308">
        <f t="shared" si="125"/>
        <v>10.17949501</v>
      </c>
      <c r="H806" s="294">
        <v>179.7</v>
      </c>
      <c r="I806" s="306">
        <v>0.92800000000000005</v>
      </c>
      <c r="J806" s="307">
        <v>0.28999999999999998</v>
      </c>
      <c r="K806" s="294">
        <f t="shared" si="106"/>
        <v>2.5335999999999999</v>
      </c>
      <c r="L806" s="294">
        <f t="shared" si="107"/>
        <v>0.38857082772847418</v>
      </c>
      <c r="M806" s="309">
        <f>$I$806*L806*(G806/K806)+$J$806</f>
        <v>1.738793043952177</v>
      </c>
      <c r="N806" s="294">
        <v>0</v>
      </c>
      <c r="O806" s="294" t="str">
        <f t="shared" si="122"/>
        <v/>
      </c>
      <c r="P806" s="294">
        <f>AVERAGE(O806:O817)</f>
        <v>6.1932805916821518</v>
      </c>
    </row>
    <row r="807" spans="1:16">
      <c r="A807" s="294"/>
      <c r="B807" s="294" t="s">
        <v>333</v>
      </c>
      <c r="C807" s="294" t="s">
        <v>582</v>
      </c>
      <c r="D807" s="295" t="s">
        <v>1060</v>
      </c>
      <c r="E807" s="296">
        <v>2</v>
      </c>
      <c r="F807" s="294">
        <v>-0.1</v>
      </c>
      <c r="G807" s="308">
        <f t="shared" si="125"/>
        <v>12.708982129999997</v>
      </c>
      <c r="H807" s="294">
        <v>182.1</v>
      </c>
      <c r="I807" s="297"/>
      <c r="J807" s="297"/>
      <c r="K807" s="294">
        <f t="shared" si="106"/>
        <v>2.5024000000000002</v>
      </c>
      <c r="L807" s="294">
        <f t="shared" si="107"/>
        <v>0.40675513074083547</v>
      </c>
      <c r="M807" s="309">
        <f t="shared" ref="M807:M817" si="127">$I$806*L807*(G807/K807)+$J$806</f>
        <v>2.2070571221005322</v>
      </c>
      <c r="N807" s="294">
        <v>0</v>
      </c>
      <c r="O807" s="294" t="str">
        <f t="shared" si="122"/>
        <v/>
      </c>
      <c r="P807" s="294"/>
    </row>
    <row r="808" spans="1:16">
      <c r="A808" s="294"/>
      <c r="B808" s="294" t="s">
        <v>333</v>
      </c>
      <c r="C808" s="294" t="s">
        <v>582</v>
      </c>
      <c r="D808" s="295" t="s">
        <v>1060</v>
      </c>
      <c r="E808" s="296">
        <v>3</v>
      </c>
      <c r="F808" s="294">
        <v>4.9000000000000004</v>
      </c>
      <c r="G808" s="308">
        <f t="shared" si="125"/>
        <v>14.76034379</v>
      </c>
      <c r="H808" s="294">
        <v>191.3</v>
      </c>
      <c r="I808" s="297"/>
      <c r="J808" s="297"/>
      <c r="K808" s="294">
        <f t="shared" si="106"/>
        <v>2.3824000000000001</v>
      </c>
      <c r="L808" s="294">
        <f t="shared" si="107"/>
        <v>0.47816140006637126</v>
      </c>
      <c r="M808" s="309">
        <f t="shared" si="127"/>
        <v>3.039187010215362</v>
      </c>
      <c r="N808" s="294">
        <v>0</v>
      </c>
      <c r="O808" s="294" t="str">
        <f t="shared" si="122"/>
        <v/>
      </c>
      <c r="P808" s="294"/>
    </row>
    <row r="809" spans="1:16">
      <c r="A809" s="294"/>
      <c r="B809" s="294" t="s">
        <v>333</v>
      </c>
      <c r="C809" s="294" t="s">
        <v>582</v>
      </c>
      <c r="D809" s="295" t="s">
        <v>1060</v>
      </c>
      <c r="E809" s="296">
        <v>4</v>
      </c>
      <c r="F809" s="294">
        <v>11</v>
      </c>
      <c r="G809" s="308">
        <f t="shared" si="125"/>
        <v>14.98853806</v>
      </c>
      <c r="H809" s="294">
        <v>154.19999999999999</v>
      </c>
      <c r="I809" s="297"/>
      <c r="J809" s="297"/>
      <c r="K809" s="294">
        <f t="shared" si="106"/>
        <v>2.2359999999999998</v>
      </c>
      <c r="L809" s="294">
        <f t="shared" si="107"/>
        <v>0.56483929877471772</v>
      </c>
      <c r="M809" s="309">
        <f t="shared" si="127"/>
        <v>3.8036650375182615</v>
      </c>
      <c r="N809" s="294">
        <v>0</v>
      </c>
      <c r="O809" s="294" t="str">
        <f t="shared" si="122"/>
        <v/>
      </c>
      <c r="P809" s="294"/>
    </row>
    <row r="810" spans="1:16">
      <c r="A810" s="294"/>
      <c r="B810" s="294" t="s">
        <v>333</v>
      </c>
      <c r="C810" s="294" t="s">
        <v>582</v>
      </c>
      <c r="D810" s="295" t="s">
        <v>1060</v>
      </c>
      <c r="E810" s="296">
        <v>5</v>
      </c>
      <c r="F810" s="294">
        <v>17.3</v>
      </c>
      <c r="G810" s="308">
        <f t="shared" si="125"/>
        <v>21.320438070000002</v>
      </c>
      <c r="H810" s="294">
        <v>253.9</v>
      </c>
      <c r="I810" s="297"/>
      <c r="J810" s="297"/>
      <c r="K810" s="294">
        <f t="shared" si="106"/>
        <v>2.0848</v>
      </c>
      <c r="L810" s="294">
        <f t="shared" si="107"/>
        <v>0.64833691220128331</v>
      </c>
      <c r="M810" s="309">
        <f t="shared" si="127"/>
        <v>6.4429084047182226</v>
      </c>
      <c r="N810" s="294">
        <v>0</v>
      </c>
      <c r="O810" s="294" t="str">
        <f t="shared" si="122"/>
        <v/>
      </c>
      <c r="P810" s="294"/>
    </row>
    <row r="811" spans="1:16">
      <c r="A811" s="294"/>
      <c r="B811" s="294" t="s">
        <v>333</v>
      </c>
      <c r="C811" s="294" t="s">
        <v>582</v>
      </c>
      <c r="D811" s="295" t="s">
        <v>1060</v>
      </c>
      <c r="E811" s="296">
        <v>6</v>
      </c>
      <c r="F811" s="294">
        <v>18.8</v>
      </c>
      <c r="G811" s="308">
        <f t="shared" si="125"/>
        <v>17.726178829999998</v>
      </c>
      <c r="H811" s="294">
        <v>173.1</v>
      </c>
      <c r="I811" s="297"/>
      <c r="J811" s="297"/>
      <c r="K811" s="294">
        <f t="shared" si="106"/>
        <v>2.0488</v>
      </c>
      <c r="L811" s="294">
        <f t="shared" si="107"/>
        <v>0.66677466843060351</v>
      </c>
      <c r="M811" s="309">
        <f t="shared" si="127"/>
        <v>5.6435594431164402</v>
      </c>
      <c r="N811" s="294">
        <v>0</v>
      </c>
      <c r="O811" s="294" t="str">
        <f t="shared" si="122"/>
        <v/>
      </c>
      <c r="P811" s="294"/>
    </row>
    <row r="812" spans="1:16">
      <c r="A812" s="294"/>
      <c r="B812" s="294" t="s">
        <v>333</v>
      </c>
      <c r="C812" s="294" t="s">
        <v>582</v>
      </c>
      <c r="D812" s="295" t="s">
        <v>1060</v>
      </c>
      <c r="E812" s="296">
        <v>7</v>
      </c>
      <c r="F812" s="294">
        <v>23.3</v>
      </c>
      <c r="G812" s="308">
        <f t="shared" si="125"/>
        <v>17.603117560000001</v>
      </c>
      <c r="H812" s="294">
        <v>179.2</v>
      </c>
      <c r="I812" s="297"/>
      <c r="J812" s="297"/>
      <c r="K812" s="294">
        <f t="shared" si="106"/>
        <v>1.9407999999999999</v>
      </c>
      <c r="L812" s="294">
        <f t="shared" si="107"/>
        <v>0.71802052338175526</v>
      </c>
      <c r="M812" s="309">
        <f t="shared" si="127"/>
        <v>6.3335711595032373</v>
      </c>
      <c r="N812" s="294">
        <v>1</v>
      </c>
      <c r="O812" s="294">
        <f t="shared" si="122"/>
        <v>6.3335711595032373</v>
      </c>
      <c r="P812" s="294"/>
    </row>
    <row r="813" spans="1:16">
      <c r="A813" s="294"/>
      <c r="B813" s="294" t="s">
        <v>333</v>
      </c>
      <c r="C813" s="294" t="s">
        <v>582</v>
      </c>
      <c r="D813" s="295" t="s">
        <v>1060</v>
      </c>
      <c r="E813" s="296">
        <v>8</v>
      </c>
      <c r="F813" s="294">
        <v>23.8</v>
      </c>
      <c r="G813" s="308">
        <f t="shared" si="125"/>
        <v>16.55996047</v>
      </c>
      <c r="H813" s="294">
        <v>172.9</v>
      </c>
      <c r="I813" s="297"/>
      <c r="J813" s="297"/>
      <c r="K813" s="294">
        <f t="shared" si="106"/>
        <v>1.9287999999999998</v>
      </c>
      <c r="L813" s="294">
        <f t="shared" si="107"/>
        <v>0.72331553572267304</v>
      </c>
      <c r="M813" s="309">
        <f t="shared" si="127"/>
        <v>6.0529900238610672</v>
      </c>
      <c r="N813" s="294">
        <v>1</v>
      </c>
      <c r="O813" s="294">
        <f t="shared" si="122"/>
        <v>6.0529900238610672</v>
      </c>
      <c r="P813" s="294"/>
    </row>
    <row r="814" spans="1:16">
      <c r="A814" s="294"/>
      <c r="B814" s="294" t="s">
        <v>333</v>
      </c>
      <c r="C814" s="294" t="s">
        <v>582</v>
      </c>
      <c r="D814" s="295" t="s">
        <v>1060</v>
      </c>
      <c r="E814" s="296">
        <v>9</v>
      </c>
      <c r="F814" s="294">
        <v>18.600000000000001</v>
      </c>
      <c r="G814" s="308">
        <f t="shared" si="125"/>
        <v>13.77962278</v>
      </c>
      <c r="H814" s="294">
        <v>150.6</v>
      </c>
      <c r="I814" s="297"/>
      <c r="J814" s="297"/>
      <c r="K814" s="294">
        <f t="shared" si="106"/>
        <v>2.0535999999999999</v>
      </c>
      <c r="L814" s="294">
        <f t="shared" si="107"/>
        <v>0.66435336670543088</v>
      </c>
      <c r="M814" s="309">
        <f t="shared" si="127"/>
        <v>4.4268387189542917</v>
      </c>
      <c r="N814" s="294">
        <v>0</v>
      </c>
      <c r="O814" s="294" t="str">
        <f t="shared" si="122"/>
        <v/>
      </c>
      <c r="P814" s="294"/>
    </row>
    <row r="815" spans="1:16">
      <c r="A815" s="294"/>
      <c r="B815" s="294" t="s">
        <v>333</v>
      </c>
      <c r="C815" s="294" t="s">
        <v>582</v>
      </c>
      <c r="D815" s="295" t="s">
        <v>1060</v>
      </c>
      <c r="E815" s="296">
        <v>10</v>
      </c>
      <c r="F815" s="294">
        <v>13.1</v>
      </c>
      <c r="G815" s="308">
        <f t="shared" si="125"/>
        <v>14.711309159999999</v>
      </c>
      <c r="H815" s="294">
        <v>237.2</v>
      </c>
      <c r="I815" s="297"/>
      <c r="J815" s="297"/>
      <c r="K815" s="294">
        <f t="shared" si="106"/>
        <v>2.1856</v>
      </c>
      <c r="L815" s="294">
        <f t="shared" si="107"/>
        <v>0.59361437367566949</v>
      </c>
      <c r="M815" s="309">
        <f t="shared" si="127"/>
        <v>3.997942790862572</v>
      </c>
      <c r="N815" s="294">
        <v>0</v>
      </c>
      <c r="O815" s="294" t="str">
        <f t="shared" si="122"/>
        <v/>
      </c>
      <c r="P815" s="294"/>
    </row>
    <row r="816" spans="1:16">
      <c r="A816" s="294"/>
      <c r="B816" s="294" t="s">
        <v>333</v>
      </c>
      <c r="C816" s="294" t="s">
        <v>582</v>
      </c>
      <c r="D816" s="295" t="s">
        <v>1060</v>
      </c>
      <c r="E816" s="296">
        <v>11</v>
      </c>
      <c r="F816" s="294">
        <v>9.3000000000000007</v>
      </c>
      <c r="G816" s="308">
        <f t="shared" si="125"/>
        <v>8.4975341399999991</v>
      </c>
      <c r="H816" s="294">
        <v>129.80000000000001</v>
      </c>
      <c r="I816" s="297"/>
      <c r="J816" s="297"/>
      <c r="K816" s="294">
        <f t="shared" si="106"/>
        <v>2.2768000000000002</v>
      </c>
      <c r="L816" s="294">
        <f t="shared" si="107"/>
        <v>0.5410323242451861</v>
      </c>
      <c r="M816" s="309">
        <f t="shared" si="127"/>
        <v>2.1638689913899301</v>
      </c>
      <c r="N816" s="294">
        <v>0</v>
      </c>
      <c r="O816" s="294" t="str">
        <f t="shared" si="122"/>
        <v/>
      </c>
      <c r="P816" s="294"/>
    </row>
    <row r="817" spans="1:16">
      <c r="A817" s="294"/>
      <c r="B817" s="294" t="s">
        <v>333</v>
      </c>
      <c r="C817" s="294" t="s">
        <v>582</v>
      </c>
      <c r="D817" s="295" t="s">
        <v>1060</v>
      </c>
      <c r="E817" s="296">
        <v>12</v>
      </c>
      <c r="F817" s="294">
        <v>3.9</v>
      </c>
      <c r="G817" s="308">
        <f t="shared" si="125"/>
        <v>8.7090451099999981</v>
      </c>
      <c r="H817" s="294">
        <v>162.69999999999999</v>
      </c>
      <c r="I817" s="297"/>
      <c r="J817" s="297"/>
      <c r="K817" s="294">
        <f t="shared" si="106"/>
        <v>2.4064000000000001</v>
      </c>
      <c r="L817" s="294">
        <f t="shared" si="107"/>
        <v>0.46378326771227446</v>
      </c>
      <c r="M817" s="309">
        <f t="shared" si="127"/>
        <v>1.8476352738472435</v>
      </c>
      <c r="N817" s="294">
        <v>0</v>
      </c>
      <c r="O817" s="294" t="str">
        <f t="shared" si="122"/>
        <v/>
      </c>
      <c r="P817" s="294"/>
    </row>
    <row r="818" spans="1:16">
      <c r="A818" s="294">
        <v>69</v>
      </c>
      <c r="B818" s="294" t="s">
        <v>333</v>
      </c>
      <c r="C818" s="294" t="s">
        <v>583</v>
      </c>
      <c r="D818" s="295" t="s">
        <v>1060</v>
      </c>
      <c r="E818" s="296">
        <v>1</v>
      </c>
      <c r="F818" s="294">
        <v>-3.5</v>
      </c>
      <c r="G818" s="308">
        <f t="shared" si="125"/>
        <v>9.7243020099999988</v>
      </c>
      <c r="H818" s="294">
        <v>169.7</v>
      </c>
      <c r="I818" s="306">
        <v>0.82599999999999996</v>
      </c>
      <c r="J818" s="307">
        <v>0.65</v>
      </c>
      <c r="K818" s="294">
        <f t="shared" si="106"/>
        <v>2.5840000000000001</v>
      </c>
      <c r="L818" s="294">
        <f t="shared" si="107"/>
        <v>0.35976800896714584</v>
      </c>
      <c r="M818" s="309">
        <f>$I$818*L818*(G818/K818)+$J$818</f>
        <v>1.7683262501073478</v>
      </c>
      <c r="N818" s="294">
        <v>0</v>
      </c>
      <c r="O818" s="294" t="str">
        <f t="shared" si="122"/>
        <v/>
      </c>
      <c r="P818" s="294">
        <f>AVERAGE(O818:O829)</f>
        <v>5.2100130942209599</v>
      </c>
    </row>
    <row r="819" spans="1:16">
      <c r="A819" s="294"/>
      <c r="B819" s="294" t="s">
        <v>333</v>
      </c>
      <c r="C819" s="294" t="s">
        <v>583</v>
      </c>
      <c r="D819" s="295" t="s">
        <v>1060</v>
      </c>
      <c r="E819" s="296">
        <v>2</v>
      </c>
      <c r="F819" s="294">
        <v>-2.4</v>
      </c>
      <c r="G819" s="308">
        <f t="shared" si="125"/>
        <v>11.59831121</v>
      </c>
      <c r="H819" s="294">
        <v>157.69999999999999</v>
      </c>
      <c r="I819" s="306"/>
      <c r="J819" s="307"/>
      <c r="K819" s="294">
        <f t="shared" si="106"/>
        <v>2.5575999999999999</v>
      </c>
      <c r="L819" s="294">
        <f t="shared" si="107"/>
        <v>0.3747577198666579</v>
      </c>
      <c r="M819" s="309">
        <f t="shared" ref="M819:M829" si="128">$I$818*L819*(G819/K819)+$J$818</f>
        <v>2.0537596981303756</v>
      </c>
      <c r="N819" s="294">
        <v>0</v>
      </c>
      <c r="O819" s="294" t="str">
        <f t="shared" si="122"/>
        <v/>
      </c>
      <c r="P819" s="294"/>
    </row>
    <row r="820" spans="1:16">
      <c r="A820" s="294"/>
      <c r="B820" s="294" t="s">
        <v>333</v>
      </c>
      <c r="C820" s="294" t="s">
        <v>583</v>
      </c>
      <c r="D820" s="295" t="s">
        <v>1060</v>
      </c>
      <c r="E820" s="296">
        <v>3</v>
      </c>
      <c r="F820" s="294">
        <v>2.1</v>
      </c>
      <c r="G820" s="308">
        <f t="shared" si="125"/>
        <v>15.365750480000003</v>
      </c>
      <c r="H820" s="294">
        <v>204.6</v>
      </c>
      <c r="I820" s="297"/>
      <c r="J820" s="297"/>
      <c r="K820" s="294">
        <f t="shared" si="106"/>
        <v>2.4496000000000002</v>
      </c>
      <c r="L820" s="294">
        <f t="shared" si="107"/>
        <v>0.43797709139280494</v>
      </c>
      <c r="M820" s="309">
        <f t="shared" si="128"/>
        <v>2.9192902417121753</v>
      </c>
      <c r="N820" s="294">
        <v>0</v>
      </c>
      <c r="O820" s="294" t="str">
        <f t="shared" si="122"/>
        <v/>
      </c>
      <c r="P820" s="294"/>
    </row>
    <row r="821" spans="1:16">
      <c r="A821" s="294"/>
      <c r="B821" s="294" t="s">
        <v>333</v>
      </c>
      <c r="C821" s="294" t="s">
        <v>583</v>
      </c>
      <c r="D821" s="295" t="s">
        <v>1060</v>
      </c>
      <c r="E821" s="296">
        <v>4</v>
      </c>
      <c r="F821" s="294">
        <v>8</v>
      </c>
      <c r="G821" s="308">
        <f t="shared" si="125"/>
        <v>15.439179129999999</v>
      </c>
      <c r="H821" s="294">
        <v>164.1</v>
      </c>
      <c r="I821" s="297"/>
      <c r="J821" s="297"/>
      <c r="K821" s="294">
        <f t="shared" si="106"/>
        <v>2.3079999999999998</v>
      </c>
      <c r="L821" s="294">
        <f t="shared" si="107"/>
        <v>0.52259463248663729</v>
      </c>
      <c r="M821" s="309">
        <f t="shared" si="128"/>
        <v>3.53757580173178</v>
      </c>
      <c r="N821" s="294">
        <v>0</v>
      </c>
      <c r="O821" s="294" t="str">
        <f t="shared" si="122"/>
        <v/>
      </c>
      <c r="P821" s="294"/>
    </row>
    <row r="822" spans="1:16">
      <c r="A822" s="294"/>
      <c r="B822" s="294" t="s">
        <v>333</v>
      </c>
      <c r="C822" s="294" t="s">
        <v>583</v>
      </c>
      <c r="D822" s="295" t="s">
        <v>1060</v>
      </c>
      <c r="E822" s="296">
        <v>5</v>
      </c>
      <c r="F822" s="294">
        <v>14.1</v>
      </c>
      <c r="G822" s="308">
        <f t="shared" si="125"/>
        <v>21.384165090000003</v>
      </c>
      <c r="H822" s="294">
        <v>255.3</v>
      </c>
      <c r="I822" s="297"/>
      <c r="J822" s="297"/>
      <c r="K822" s="294">
        <f t="shared" si="106"/>
        <v>2.1616</v>
      </c>
      <c r="L822" s="294">
        <f t="shared" si="107"/>
        <v>0.60701698364649326</v>
      </c>
      <c r="M822" s="309">
        <f t="shared" si="128"/>
        <v>5.6101847930900011</v>
      </c>
      <c r="N822" s="294">
        <v>0</v>
      </c>
      <c r="O822" s="294" t="str">
        <f t="shared" si="122"/>
        <v/>
      </c>
      <c r="P822" s="294"/>
    </row>
    <row r="823" spans="1:16">
      <c r="A823" s="294"/>
      <c r="B823" s="294" t="s">
        <v>333</v>
      </c>
      <c r="C823" s="294" t="s">
        <v>583</v>
      </c>
      <c r="D823" s="295" t="s">
        <v>1060</v>
      </c>
      <c r="E823" s="296">
        <v>6</v>
      </c>
      <c r="F823" s="294">
        <v>15.6</v>
      </c>
      <c r="G823" s="308">
        <f t="shared" si="125"/>
        <v>16.61095598</v>
      </c>
      <c r="H823" s="294">
        <v>148.6</v>
      </c>
      <c r="I823" s="297"/>
      <c r="J823" s="297"/>
      <c r="K823" s="294">
        <f t="shared" si="106"/>
        <v>2.1255999999999999</v>
      </c>
      <c r="L823" s="294">
        <f t="shared" si="107"/>
        <v>0.62670175707655418</v>
      </c>
      <c r="M823" s="309">
        <f t="shared" si="128"/>
        <v>4.6953308417829822</v>
      </c>
      <c r="N823" s="294">
        <v>0</v>
      </c>
      <c r="O823" s="294" t="str">
        <f t="shared" si="122"/>
        <v/>
      </c>
      <c r="P823" s="294"/>
    </row>
    <row r="824" spans="1:16">
      <c r="A824" s="294"/>
      <c r="B824" s="294" t="s">
        <v>333</v>
      </c>
      <c r="C824" s="294" t="s">
        <v>583</v>
      </c>
      <c r="D824" s="295" t="s">
        <v>1060</v>
      </c>
      <c r="E824" s="296">
        <v>7</v>
      </c>
      <c r="F824" s="294">
        <v>20.6</v>
      </c>
      <c r="G824" s="308">
        <f t="shared" si="125"/>
        <v>17.20709965</v>
      </c>
      <c r="H824" s="294">
        <v>170.5</v>
      </c>
      <c r="I824" s="297"/>
      <c r="J824" s="297"/>
      <c r="K824" s="294">
        <f t="shared" si="106"/>
        <v>2.0055999999999998</v>
      </c>
      <c r="L824" s="294">
        <f t="shared" si="107"/>
        <v>0.68803058654568494</v>
      </c>
      <c r="M824" s="309">
        <f t="shared" si="128"/>
        <v>5.5258590817910189</v>
      </c>
      <c r="N824" s="294">
        <v>1</v>
      </c>
      <c r="O824" s="294">
        <f t="shared" si="122"/>
        <v>5.5258590817910189</v>
      </c>
      <c r="P824" s="294"/>
    </row>
    <row r="825" spans="1:16">
      <c r="A825" s="294"/>
      <c r="B825" s="294" t="s">
        <v>333</v>
      </c>
      <c r="C825" s="294" t="s">
        <v>583</v>
      </c>
      <c r="D825" s="295" t="s">
        <v>1060</v>
      </c>
      <c r="E825" s="296">
        <v>8</v>
      </c>
      <c r="F825" s="294">
        <v>20</v>
      </c>
      <c r="G825" s="308">
        <f t="shared" si="125"/>
        <v>15.23990077</v>
      </c>
      <c r="H825" s="294">
        <v>143.9</v>
      </c>
      <c r="I825" s="297"/>
      <c r="J825" s="297"/>
      <c r="K825" s="294">
        <f t="shared" si="106"/>
        <v>2.02</v>
      </c>
      <c r="L825" s="294">
        <f t="shared" si="107"/>
        <v>0.68105417257260759</v>
      </c>
      <c r="M825" s="309">
        <f t="shared" si="128"/>
        <v>4.8941671066509018</v>
      </c>
      <c r="N825" s="294">
        <v>1</v>
      </c>
      <c r="O825" s="294">
        <f t="shared" si="122"/>
        <v>4.8941671066509018</v>
      </c>
      <c r="P825" s="294"/>
    </row>
    <row r="826" spans="1:16">
      <c r="A826" s="294"/>
      <c r="B826" s="294" t="s">
        <v>333</v>
      </c>
      <c r="C826" s="294" t="s">
        <v>583</v>
      </c>
      <c r="D826" s="295" t="s">
        <v>1060</v>
      </c>
      <c r="E826" s="296">
        <v>9</v>
      </c>
      <c r="F826" s="294">
        <v>15.6</v>
      </c>
      <c r="G826" s="308">
        <f t="shared" ref="G826:G857" si="129">$T$11+$T$12*H826+INDEX($T$13:$T$24,MATCH(E826,$S$13:$S$24,0),1)</f>
        <v>12.081752889999999</v>
      </c>
      <c r="H826" s="294">
        <v>113.3</v>
      </c>
      <c r="I826" s="297"/>
      <c r="J826" s="297"/>
      <c r="K826" s="294">
        <f t="shared" si="106"/>
        <v>2.1255999999999999</v>
      </c>
      <c r="L826" s="294">
        <f t="shared" si="107"/>
        <v>0.62670175707655418</v>
      </c>
      <c r="M826" s="309">
        <f t="shared" si="128"/>
        <v>3.5923163632222006</v>
      </c>
      <c r="N826" s="294">
        <v>0</v>
      </c>
      <c r="O826" s="294" t="str">
        <f t="shared" si="122"/>
        <v/>
      </c>
      <c r="P826" s="294"/>
    </row>
    <row r="827" spans="1:16">
      <c r="A827" s="294"/>
      <c r="B827" s="294" t="s">
        <v>333</v>
      </c>
      <c r="C827" s="294" t="s">
        <v>583</v>
      </c>
      <c r="D827" s="295" t="s">
        <v>1060</v>
      </c>
      <c r="E827" s="296">
        <v>10</v>
      </c>
      <c r="F827" s="294">
        <v>10.199999999999999</v>
      </c>
      <c r="G827" s="308">
        <f t="shared" si="129"/>
        <v>13.62339789</v>
      </c>
      <c r="H827" s="294">
        <v>213.3</v>
      </c>
      <c r="I827" s="297"/>
      <c r="J827" s="297"/>
      <c r="K827" s="294">
        <f t="shared" si="106"/>
        <v>2.2551999999999999</v>
      </c>
      <c r="L827" s="294">
        <f t="shared" si="107"/>
        <v>0.55368525424125736</v>
      </c>
      <c r="M827" s="309">
        <f t="shared" si="128"/>
        <v>3.4127614212117696</v>
      </c>
      <c r="N827" s="294">
        <v>0</v>
      </c>
      <c r="O827" s="294" t="str">
        <f t="shared" si="122"/>
        <v/>
      </c>
      <c r="P827" s="294"/>
    </row>
    <row r="828" spans="1:16">
      <c r="A828" s="294"/>
      <c r="B828" s="294" t="s">
        <v>333</v>
      </c>
      <c r="C828" s="294" t="s">
        <v>583</v>
      </c>
      <c r="D828" s="295" t="s">
        <v>1060</v>
      </c>
      <c r="E828" s="296">
        <v>11</v>
      </c>
      <c r="F828" s="294">
        <v>6.5</v>
      </c>
      <c r="G828" s="308">
        <f t="shared" si="129"/>
        <v>7.6554270899999999</v>
      </c>
      <c r="H828" s="294">
        <v>111.3</v>
      </c>
      <c r="I828" s="297"/>
      <c r="J828" s="297"/>
      <c r="K828" s="294">
        <f t="shared" si="106"/>
        <v>2.3439999999999999</v>
      </c>
      <c r="L828" s="294">
        <f t="shared" si="107"/>
        <v>0.50114804539465463</v>
      </c>
      <c r="M828" s="309">
        <f t="shared" si="128"/>
        <v>2.001941518193266</v>
      </c>
      <c r="N828" s="294">
        <v>0</v>
      </c>
      <c r="O828" s="294" t="str">
        <f t="shared" si="122"/>
        <v/>
      </c>
      <c r="P828" s="294"/>
    </row>
    <row r="829" spans="1:16">
      <c r="A829" s="294"/>
      <c r="B829" s="294" t="s">
        <v>333</v>
      </c>
      <c r="C829" s="294" t="s">
        <v>583</v>
      </c>
      <c r="D829" s="295" t="s">
        <v>1060</v>
      </c>
      <c r="E829" s="296">
        <v>12</v>
      </c>
      <c r="F829" s="294">
        <v>1.1000000000000001</v>
      </c>
      <c r="G829" s="308">
        <f t="shared" si="129"/>
        <v>8.4723447500000013</v>
      </c>
      <c r="H829" s="294">
        <v>157.5</v>
      </c>
      <c r="I829" s="297"/>
      <c r="J829" s="297"/>
      <c r="K829" s="294">
        <f t="shared" si="106"/>
        <v>2.4735999999999998</v>
      </c>
      <c r="L829" s="294">
        <f t="shared" si="107"/>
        <v>0.42372761415132076</v>
      </c>
      <c r="M829" s="309">
        <f t="shared" si="128"/>
        <v>1.8487840672925229</v>
      </c>
      <c r="N829" s="294">
        <v>0</v>
      </c>
      <c r="O829" s="294" t="str">
        <f t="shared" si="122"/>
        <v/>
      </c>
      <c r="P829" s="294"/>
    </row>
    <row r="830" spans="1:16">
      <c r="A830" s="294">
        <v>70</v>
      </c>
      <c r="B830" s="294" t="s">
        <v>333</v>
      </c>
      <c r="C830" s="294" t="s">
        <v>337</v>
      </c>
      <c r="D830" s="295" t="s">
        <v>1060</v>
      </c>
      <c r="E830" s="296">
        <v>1</v>
      </c>
      <c r="F830" s="294">
        <v>1</v>
      </c>
      <c r="G830" s="308">
        <f t="shared" si="129"/>
        <v>9.7743732399999992</v>
      </c>
      <c r="H830" s="294">
        <v>170.8</v>
      </c>
      <c r="I830" s="306">
        <v>1.079</v>
      </c>
      <c r="J830" s="307">
        <v>-0.25</v>
      </c>
      <c r="K830" s="294">
        <f t="shared" si="106"/>
        <v>2.476</v>
      </c>
      <c r="L830" s="294">
        <f t="shared" si="107"/>
        <v>0.42230745116229385</v>
      </c>
      <c r="M830" s="309">
        <f>$I$830*L830*(G830/K830)+$J$830</f>
        <v>1.548823146615147</v>
      </c>
      <c r="N830" s="294">
        <v>0</v>
      </c>
      <c r="O830" s="294" t="str">
        <f t="shared" si="122"/>
        <v/>
      </c>
      <c r="P830" s="294">
        <f>AVERAGE(O830:O841)</f>
        <v>6.6293821178078893</v>
      </c>
    </row>
    <row r="831" spans="1:16">
      <c r="A831" s="294"/>
      <c r="B831" s="294" t="s">
        <v>333</v>
      </c>
      <c r="C831" s="294" t="s">
        <v>337</v>
      </c>
      <c r="D831" s="295" t="s">
        <v>1060</v>
      </c>
      <c r="E831" s="296">
        <v>2</v>
      </c>
      <c r="F831" s="294">
        <v>1.9</v>
      </c>
      <c r="G831" s="308">
        <f t="shared" si="129"/>
        <v>11.875978940000001</v>
      </c>
      <c r="H831" s="294">
        <v>163.80000000000001</v>
      </c>
      <c r="I831" s="297"/>
      <c r="J831" s="297"/>
      <c r="K831" s="294">
        <f t="shared" si="106"/>
        <v>2.4544000000000001</v>
      </c>
      <c r="L831" s="294">
        <f t="shared" si="107"/>
        <v>0.43512084204310097</v>
      </c>
      <c r="M831" s="309">
        <f t="shared" ref="M831:M841" si="130">$I$830*L831*(G831/K831)+$J$830</f>
        <v>2.0217231694178577</v>
      </c>
      <c r="N831" s="294">
        <v>0</v>
      </c>
      <c r="O831" s="294" t="str">
        <f t="shared" si="122"/>
        <v/>
      </c>
      <c r="P831" s="294"/>
    </row>
    <row r="832" spans="1:16">
      <c r="A832" s="294"/>
      <c r="B832" s="294" t="s">
        <v>333</v>
      </c>
      <c r="C832" s="294" t="s">
        <v>337</v>
      </c>
      <c r="D832" s="295" t="s">
        <v>1060</v>
      </c>
      <c r="E832" s="296">
        <v>3</v>
      </c>
      <c r="F832" s="294">
        <v>6.5</v>
      </c>
      <c r="G832" s="308">
        <f t="shared" si="129"/>
        <v>13.604153570000001</v>
      </c>
      <c r="H832" s="294">
        <v>165.9</v>
      </c>
      <c r="I832" s="297"/>
      <c r="J832" s="297"/>
      <c r="K832" s="294">
        <f t="shared" si="106"/>
        <v>2.3439999999999999</v>
      </c>
      <c r="L832" s="294">
        <f t="shared" si="107"/>
        <v>0.50114804539465463</v>
      </c>
      <c r="M832" s="309">
        <f t="shared" si="130"/>
        <v>2.8883502020271741</v>
      </c>
      <c r="N832" s="294">
        <v>0</v>
      </c>
      <c r="O832" s="294" t="str">
        <f t="shared" si="122"/>
        <v/>
      </c>
      <c r="P832" s="294"/>
    </row>
    <row r="833" spans="1:16">
      <c r="A833" s="294"/>
      <c r="B833" s="294" t="s">
        <v>333</v>
      </c>
      <c r="C833" s="294" t="s">
        <v>337</v>
      </c>
      <c r="D833" s="295" t="s">
        <v>1060</v>
      </c>
      <c r="E833" s="296">
        <v>4</v>
      </c>
      <c r="F833" s="294">
        <v>13</v>
      </c>
      <c r="G833" s="308">
        <f t="shared" si="129"/>
        <v>14.99764192</v>
      </c>
      <c r="H833" s="294">
        <v>154.4</v>
      </c>
      <c r="I833" s="297"/>
      <c r="J833" s="297"/>
      <c r="K833" s="294">
        <f t="shared" si="106"/>
        <v>2.1880000000000002</v>
      </c>
      <c r="L833" s="294">
        <f t="shared" si="107"/>
        <v>0.59226272182177631</v>
      </c>
      <c r="M833" s="309">
        <f t="shared" si="130"/>
        <v>4.1303771563889065</v>
      </c>
      <c r="N833" s="294">
        <v>0</v>
      </c>
      <c r="O833" s="294" t="str">
        <f t="shared" si="122"/>
        <v/>
      </c>
      <c r="P833" s="294"/>
    </row>
    <row r="834" spans="1:16">
      <c r="A834" s="294"/>
      <c r="B834" s="294" t="s">
        <v>333</v>
      </c>
      <c r="C834" s="294" t="s">
        <v>337</v>
      </c>
      <c r="D834" s="295" t="s">
        <v>1060</v>
      </c>
      <c r="E834" s="296">
        <v>5</v>
      </c>
      <c r="F834" s="294">
        <v>18.7</v>
      </c>
      <c r="G834" s="308">
        <f t="shared" si="129"/>
        <v>20.528402249999999</v>
      </c>
      <c r="H834" s="294">
        <v>236.5</v>
      </c>
      <c r="I834" s="297"/>
      <c r="J834" s="297"/>
      <c r="K834" s="294">
        <f t="shared" si="106"/>
        <v>2.0512000000000001</v>
      </c>
      <c r="L834" s="294">
        <f t="shared" si="107"/>
        <v>0.66556547157492041</v>
      </c>
      <c r="M834" s="309">
        <f t="shared" si="130"/>
        <v>6.9371940261372744</v>
      </c>
      <c r="N834" s="294">
        <v>0</v>
      </c>
      <c r="O834" s="294" t="str">
        <f t="shared" ref="O834:O897" si="131">IF(N834*M834=0,"",N834*M834)</f>
        <v/>
      </c>
      <c r="P834" s="294"/>
    </row>
    <row r="835" spans="1:16">
      <c r="A835" s="294"/>
      <c r="B835" s="294" t="s">
        <v>333</v>
      </c>
      <c r="C835" s="294" t="s">
        <v>337</v>
      </c>
      <c r="D835" s="295" t="s">
        <v>1060</v>
      </c>
      <c r="E835" s="296">
        <v>6</v>
      </c>
      <c r="F835" s="294">
        <v>20</v>
      </c>
      <c r="G835" s="308">
        <f t="shared" si="129"/>
        <v>16.383359479999999</v>
      </c>
      <c r="H835" s="294">
        <v>143.6</v>
      </c>
      <c r="I835" s="297"/>
      <c r="J835" s="297"/>
      <c r="K835" s="294">
        <f t="shared" si="106"/>
        <v>2.02</v>
      </c>
      <c r="L835" s="294">
        <f t="shared" si="107"/>
        <v>0.68105417257260759</v>
      </c>
      <c r="M835" s="309">
        <f t="shared" si="130"/>
        <v>5.7101157455669567</v>
      </c>
      <c r="N835" s="294">
        <v>0</v>
      </c>
      <c r="O835" s="294" t="str">
        <f t="shared" si="131"/>
        <v/>
      </c>
      <c r="P835" s="294"/>
    </row>
    <row r="836" spans="1:16">
      <c r="A836" s="294"/>
      <c r="B836" s="294" t="s">
        <v>333</v>
      </c>
      <c r="C836" s="294" t="s">
        <v>337</v>
      </c>
      <c r="D836" s="295" t="s">
        <v>1060</v>
      </c>
      <c r="E836" s="296">
        <v>7</v>
      </c>
      <c r="F836" s="294">
        <v>24.1</v>
      </c>
      <c r="G836" s="308">
        <f t="shared" si="129"/>
        <v>16.465135060000001</v>
      </c>
      <c r="H836" s="294">
        <v>154.19999999999999</v>
      </c>
      <c r="I836" s="297"/>
      <c r="J836" s="297"/>
      <c r="K836" s="294">
        <f t="shared" si="106"/>
        <v>1.9216</v>
      </c>
      <c r="L836" s="294">
        <f t="shared" si="107"/>
        <v>0.72645305067252686</v>
      </c>
      <c r="M836" s="309">
        <f t="shared" si="130"/>
        <v>6.4663188249395711</v>
      </c>
      <c r="N836" s="294">
        <v>1</v>
      </c>
      <c r="O836" s="294">
        <f t="shared" si="131"/>
        <v>6.4663188249395711</v>
      </c>
      <c r="P836" s="294"/>
    </row>
    <row r="837" spans="1:16">
      <c r="A837" s="294"/>
      <c r="B837" s="294" t="s">
        <v>333</v>
      </c>
      <c r="C837" s="294" t="s">
        <v>337</v>
      </c>
      <c r="D837" s="295" t="s">
        <v>1060</v>
      </c>
      <c r="E837" s="296">
        <v>8</v>
      </c>
      <c r="F837" s="294">
        <v>25.3</v>
      </c>
      <c r="G837" s="308">
        <f t="shared" si="129"/>
        <v>16.723829949999999</v>
      </c>
      <c r="H837" s="294">
        <v>176.5</v>
      </c>
      <c r="I837" s="297"/>
      <c r="J837" s="297"/>
      <c r="K837" s="294">
        <f t="shared" si="106"/>
        <v>1.8927999999999998</v>
      </c>
      <c r="L837" s="294">
        <f t="shared" si="107"/>
        <v>0.7387049835222731</v>
      </c>
      <c r="M837" s="309">
        <f t="shared" si="130"/>
        <v>6.7924454106762076</v>
      </c>
      <c r="N837" s="294">
        <v>1</v>
      </c>
      <c r="O837" s="294">
        <f t="shared" si="131"/>
        <v>6.7924454106762076</v>
      </c>
      <c r="P837" s="294"/>
    </row>
    <row r="838" spans="1:16">
      <c r="A838" s="294"/>
      <c r="B838" s="294" t="s">
        <v>333</v>
      </c>
      <c r="C838" s="294" t="s">
        <v>337</v>
      </c>
      <c r="D838" s="295" t="s">
        <v>1060</v>
      </c>
      <c r="E838" s="296">
        <v>9</v>
      </c>
      <c r="F838" s="294">
        <v>20.2</v>
      </c>
      <c r="G838" s="308">
        <f t="shared" si="129"/>
        <v>13.843349799999999</v>
      </c>
      <c r="H838" s="294">
        <v>152</v>
      </c>
      <c r="I838" s="297"/>
      <c r="J838" s="297"/>
      <c r="K838" s="294">
        <f t="shared" si="106"/>
        <v>2.0152000000000001</v>
      </c>
      <c r="L838" s="294">
        <f t="shared" si="107"/>
        <v>0.68339192349867006</v>
      </c>
      <c r="M838" s="309">
        <f t="shared" si="130"/>
        <v>4.8154067535918985</v>
      </c>
      <c r="N838" s="294">
        <v>0</v>
      </c>
      <c r="O838" s="294" t="str">
        <f t="shared" si="131"/>
        <v/>
      </c>
      <c r="P838" s="294"/>
    </row>
    <row r="839" spans="1:16">
      <c r="A839" s="294"/>
      <c r="B839" s="294" t="s">
        <v>333</v>
      </c>
      <c r="C839" s="294" t="s">
        <v>337</v>
      </c>
      <c r="D839" s="295" t="s">
        <v>1060</v>
      </c>
      <c r="E839" s="296">
        <v>10</v>
      </c>
      <c r="F839" s="294">
        <v>14.4</v>
      </c>
      <c r="G839" s="308">
        <f t="shared" si="129"/>
        <v>14.03762352</v>
      </c>
      <c r="H839" s="294">
        <v>222.4</v>
      </c>
      <c r="I839" s="297"/>
      <c r="J839" s="297"/>
      <c r="K839" s="294">
        <f t="shared" si="106"/>
        <v>2.1543999999999999</v>
      </c>
      <c r="L839" s="294">
        <f t="shared" si="107"/>
        <v>0.61099561633520971</v>
      </c>
      <c r="M839" s="309">
        <f t="shared" si="130"/>
        <v>4.0456292345006846</v>
      </c>
      <c r="N839" s="294">
        <v>0</v>
      </c>
      <c r="O839" s="294" t="str">
        <f t="shared" si="131"/>
        <v/>
      </c>
      <c r="P839" s="294"/>
    </row>
    <row r="840" spans="1:16">
      <c r="A840" s="294"/>
      <c r="B840" s="294" t="s">
        <v>333</v>
      </c>
      <c r="C840" s="294" t="s">
        <v>337</v>
      </c>
      <c r="D840" s="295" t="s">
        <v>1060</v>
      </c>
      <c r="E840" s="296">
        <v>11</v>
      </c>
      <c r="F840" s="294">
        <v>10.7</v>
      </c>
      <c r="G840" s="308">
        <f t="shared" si="129"/>
        <v>7.6554270899999999</v>
      </c>
      <c r="H840" s="294">
        <v>111.3</v>
      </c>
      <c r="I840" s="297"/>
      <c r="J840" s="297"/>
      <c r="K840" s="294">
        <f t="shared" si="106"/>
        <v>2.2431999999999999</v>
      </c>
      <c r="L840" s="294">
        <f t="shared" si="107"/>
        <v>0.56066760907995394</v>
      </c>
      <c r="M840" s="309">
        <f t="shared" si="130"/>
        <v>1.8145639502835547</v>
      </c>
      <c r="N840" s="294">
        <v>0</v>
      </c>
      <c r="O840" s="294" t="str">
        <f t="shared" si="131"/>
        <v/>
      </c>
      <c r="P840" s="294"/>
    </row>
    <row r="841" spans="1:16">
      <c r="A841" s="294"/>
      <c r="B841" s="294" t="s">
        <v>333</v>
      </c>
      <c r="C841" s="294" t="s">
        <v>337</v>
      </c>
      <c r="D841" s="295" t="s">
        <v>1060</v>
      </c>
      <c r="E841" s="296">
        <v>12</v>
      </c>
      <c r="F841" s="294">
        <v>5.2</v>
      </c>
      <c r="G841" s="308">
        <f t="shared" si="129"/>
        <v>8.367650359999999</v>
      </c>
      <c r="H841" s="294">
        <v>155.19999999999999</v>
      </c>
      <c r="I841" s="297"/>
      <c r="J841" s="297"/>
      <c r="K841" s="294">
        <f t="shared" si="106"/>
        <v>2.3752</v>
      </c>
      <c r="L841" s="294">
        <f t="shared" si="107"/>
        <v>0.48247533207240734</v>
      </c>
      <c r="M841" s="309">
        <f t="shared" si="130"/>
        <v>1.5840023964757641</v>
      </c>
      <c r="N841" s="294">
        <v>0</v>
      </c>
      <c r="O841" s="294" t="str">
        <f t="shared" si="131"/>
        <v/>
      </c>
      <c r="P841" s="294"/>
    </row>
    <row r="842" spans="1:16">
      <c r="A842" s="294">
        <v>71</v>
      </c>
      <c r="B842" s="294" t="s">
        <v>584</v>
      </c>
      <c r="C842" s="294" t="s">
        <v>339</v>
      </c>
      <c r="D842" s="295" t="s">
        <v>1061</v>
      </c>
      <c r="E842" s="296">
        <v>1</v>
      </c>
      <c r="F842" s="294">
        <v>4.9000000000000004</v>
      </c>
      <c r="G842" s="308">
        <f t="shared" si="129"/>
        <v>1.9996768000000005</v>
      </c>
      <c r="H842" s="308"/>
      <c r="I842" s="306">
        <v>0.96699999999999997</v>
      </c>
      <c r="J842" s="307">
        <v>-0.1</v>
      </c>
      <c r="K842" s="294">
        <f t="shared" si="106"/>
        <v>2.3824000000000001</v>
      </c>
      <c r="L842" s="294">
        <f t="shared" si="107"/>
        <v>0.47816140006637126</v>
      </c>
      <c r="M842" s="309">
        <f>$I$842*L842*(G842/K842)+$J$842</f>
        <v>0.28810221030980909</v>
      </c>
      <c r="N842" s="294">
        <v>0</v>
      </c>
      <c r="O842" s="294" t="str">
        <f t="shared" si="131"/>
        <v/>
      </c>
      <c r="P842" s="294">
        <f>AVERAGE(O842:O853)</f>
        <v>3.5189664951123953</v>
      </c>
    </row>
    <row r="843" spans="1:16">
      <c r="A843" s="294"/>
      <c r="B843" s="294" t="s">
        <v>584</v>
      </c>
      <c r="C843" s="294" t="s">
        <v>339</v>
      </c>
      <c r="D843" s="295" t="s">
        <v>1061</v>
      </c>
      <c r="E843" s="296">
        <v>2</v>
      </c>
      <c r="F843" s="294">
        <v>5.5</v>
      </c>
      <c r="G843" s="308">
        <f t="shared" si="129"/>
        <v>4.4199175999999998</v>
      </c>
      <c r="H843" s="308"/>
      <c r="I843" s="294"/>
      <c r="J843" s="294"/>
      <c r="K843" s="294">
        <f t="shared" si="106"/>
        <v>2.3679999999999999</v>
      </c>
      <c r="L843" s="294">
        <f t="shared" si="107"/>
        <v>0.48678823254741066</v>
      </c>
      <c r="M843" s="309">
        <f t="shared" ref="M843:M853" si="132">$I$842*L843*(G843/K843)+$J$842</f>
        <v>0.77861582288192133</v>
      </c>
      <c r="N843" s="294">
        <v>0</v>
      </c>
      <c r="O843" s="294" t="str">
        <f t="shared" si="131"/>
        <v/>
      </c>
      <c r="P843" s="294"/>
    </row>
    <row r="844" spans="1:16">
      <c r="A844" s="294"/>
      <c r="B844" s="294" t="s">
        <v>584</v>
      </c>
      <c r="C844" s="294" t="s">
        <v>339</v>
      </c>
      <c r="D844" s="295" t="s">
        <v>1061</v>
      </c>
      <c r="E844" s="296">
        <v>3</v>
      </c>
      <c r="F844" s="294">
        <v>9.4</v>
      </c>
      <c r="G844" s="308">
        <f t="shared" si="129"/>
        <v>6.0525017000000005</v>
      </c>
      <c r="H844" s="308"/>
      <c r="I844" s="294"/>
      <c r="J844" s="294"/>
      <c r="K844" s="294">
        <f t="shared" si="106"/>
        <v>2.2744</v>
      </c>
      <c r="L844" s="294">
        <f t="shared" si="107"/>
        <v>0.54244317029746025</v>
      </c>
      <c r="M844" s="309">
        <f t="shared" si="132"/>
        <v>1.2958822763965301</v>
      </c>
      <c r="N844" s="294">
        <v>0</v>
      </c>
      <c r="O844" s="294" t="str">
        <f t="shared" si="131"/>
        <v/>
      </c>
      <c r="P844" s="294"/>
    </row>
    <row r="845" spans="1:16">
      <c r="A845" s="294"/>
      <c r="B845" s="294" t="s">
        <v>584</v>
      </c>
      <c r="C845" s="294" t="s">
        <v>339</v>
      </c>
      <c r="D845" s="295" t="s">
        <v>1061</v>
      </c>
      <c r="E845" s="296">
        <v>4</v>
      </c>
      <c r="F845" s="294">
        <v>15.2</v>
      </c>
      <c r="G845" s="308">
        <f t="shared" si="129"/>
        <v>7.969462</v>
      </c>
      <c r="H845" s="308"/>
      <c r="I845" s="294"/>
      <c r="J845" s="294"/>
      <c r="K845" s="294">
        <f t="shared" si="106"/>
        <v>2.1352000000000002</v>
      </c>
      <c r="L845" s="294">
        <f t="shared" si="107"/>
        <v>0.62150446245737101</v>
      </c>
      <c r="M845" s="309">
        <f t="shared" si="132"/>
        <v>2.1431647348743712</v>
      </c>
      <c r="N845" s="294">
        <v>0</v>
      </c>
      <c r="O845" s="294" t="str">
        <f t="shared" si="131"/>
        <v/>
      </c>
      <c r="P845" s="294"/>
    </row>
    <row r="846" spans="1:16">
      <c r="A846" s="294"/>
      <c r="B846" s="294" t="s">
        <v>584</v>
      </c>
      <c r="C846" s="294" t="s">
        <v>339</v>
      </c>
      <c r="D846" s="295" t="s">
        <v>1061</v>
      </c>
      <c r="E846" s="296">
        <v>5</v>
      </c>
      <c r="F846" s="294">
        <v>21.3</v>
      </c>
      <c r="G846" s="308">
        <f t="shared" si="129"/>
        <v>9.763087800000001</v>
      </c>
      <c r="H846" s="308"/>
      <c r="I846" s="294"/>
      <c r="J846" s="294"/>
      <c r="K846" s="294">
        <f t="shared" si="106"/>
        <v>1.9887999999999999</v>
      </c>
      <c r="L846" s="294">
        <f t="shared" si="107"/>
        <v>0.69602860950497947</v>
      </c>
      <c r="M846" s="309">
        <f t="shared" si="132"/>
        <v>3.2040731133618423</v>
      </c>
      <c r="N846" s="294">
        <v>0</v>
      </c>
      <c r="O846" s="294" t="str">
        <f t="shared" si="131"/>
        <v/>
      </c>
      <c r="P846" s="294"/>
    </row>
    <row r="847" spans="1:16">
      <c r="A847" s="294"/>
      <c r="B847" s="294" t="s">
        <v>584</v>
      </c>
      <c r="C847" s="294" t="s">
        <v>339</v>
      </c>
      <c r="D847" s="295" t="s">
        <v>1061</v>
      </c>
      <c r="E847" s="296">
        <v>6</v>
      </c>
      <c r="F847" s="294">
        <v>22.6</v>
      </c>
      <c r="G847" s="308">
        <f t="shared" si="129"/>
        <v>9.8467880000000001</v>
      </c>
      <c r="H847" s="308"/>
      <c r="I847" s="294"/>
      <c r="J847" s="294"/>
      <c r="K847" s="294">
        <f t="shared" si="106"/>
        <v>1.9576</v>
      </c>
      <c r="L847" s="294">
        <f t="shared" si="107"/>
        <v>0.71047016201358149</v>
      </c>
      <c r="M847" s="309">
        <f t="shared" si="132"/>
        <v>3.3557550298866818</v>
      </c>
      <c r="N847" s="294">
        <v>0</v>
      </c>
      <c r="O847" s="294" t="str">
        <f t="shared" si="131"/>
        <v/>
      </c>
      <c r="P847" s="294"/>
    </row>
    <row r="848" spans="1:16">
      <c r="A848" s="294"/>
      <c r="B848" s="294" t="s">
        <v>584</v>
      </c>
      <c r="C848" s="294" t="s">
        <v>339</v>
      </c>
      <c r="D848" s="295" t="s">
        <v>1061</v>
      </c>
      <c r="E848" s="296">
        <v>7</v>
      </c>
      <c r="F848" s="294">
        <v>26.8</v>
      </c>
      <c r="G848" s="308">
        <f t="shared" si="129"/>
        <v>9.446059</v>
      </c>
      <c r="H848" s="308"/>
      <c r="I848" s="294"/>
      <c r="J848" s="294"/>
      <c r="K848" s="294">
        <f t="shared" si="106"/>
        <v>1.8568</v>
      </c>
      <c r="L848" s="294">
        <f t="shared" si="107"/>
        <v>0.75334501747293869</v>
      </c>
      <c r="M848" s="309">
        <f t="shared" si="132"/>
        <v>3.6060043157507709</v>
      </c>
      <c r="N848" s="294">
        <v>1</v>
      </c>
      <c r="O848" s="294">
        <f t="shared" si="131"/>
        <v>3.6060043157507709</v>
      </c>
      <c r="P848" s="294"/>
    </row>
    <row r="849" spans="1:16">
      <c r="A849" s="294"/>
      <c r="B849" s="294" t="s">
        <v>584</v>
      </c>
      <c r="C849" s="294" t="s">
        <v>339</v>
      </c>
      <c r="D849" s="295" t="s">
        <v>1061</v>
      </c>
      <c r="E849" s="296">
        <v>8</v>
      </c>
      <c r="F849" s="294">
        <v>28.2</v>
      </c>
      <c r="G849" s="308">
        <f t="shared" si="129"/>
        <v>8.6896734999999996</v>
      </c>
      <c r="H849" s="308"/>
      <c r="I849" s="294"/>
      <c r="J849" s="294"/>
      <c r="K849" s="294">
        <f t="shared" si="106"/>
        <v>1.8231999999999999</v>
      </c>
      <c r="L849" s="294">
        <f t="shared" si="107"/>
        <v>0.7663308405802105</v>
      </c>
      <c r="M849" s="309">
        <f t="shared" si="132"/>
        <v>3.4319286744740203</v>
      </c>
      <c r="N849" s="294">
        <v>1</v>
      </c>
      <c r="O849" s="294">
        <f t="shared" si="131"/>
        <v>3.4319286744740203</v>
      </c>
      <c r="P849" s="294"/>
    </row>
    <row r="850" spans="1:16">
      <c r="A850" s="294"/>
      <c r="B850" s="294" t="s">
        <v>584</v>
      </c>
      <c r="C850" s="294" t="s">
        <v>339</v>
      </c>
      <c r="D850" s="295" t="s">
        <v>1061</v>
      </c>
      <c r="E850" s="296">
        <v>9</v>
      </c>
      <c r="F850" s="294">
        <v>23</v>
      </c>
      <c r="G850" s="308">
        <f t="shared" si="129"/>
        <v>6.9244161999999996</v>
      </c>
      <c r="H850" s="308"/>
      <c r="I850" s="294"/>
      <c r="J850" s="294"/>
      <c r="K850" s="294">
        <f t="shared" si="106"/>
        <v>1.948</v>
      </c>
      <c r="L850" s="294">
        <f t="shared" si="107"/>
        <v>0.71480420137260092</v>
      </c>
      <c r="M850" s="309">
        <f t="shared" si="132"/>
        <v>2.3570148525065129</v>
      </c>
      <c r="N850" s="294">
        <v>0</v>
      </c>
      <c r="O850" s="294" t="str">
        <f t="shared" si="131"/>
        <v/>
      </c>
      <c r="P850" s="294"/>
    </row>
    <row r="851" spans="1:16">
      <c r="A851" s="294"/>
      <c r="B851" s="294" t="s">
        <v>584</v>
      </c>
      <c r="C851" s="294" t="s">
        <v>339</v>
      </c>
      <c r="D851" s="295" t="s">
        <v>1061</v>
      </c>
      <c r="E851" s="296">
        <v>10</v>
      </c>
      <c r="F851" s="294">
        <v>18.2</v>
      </c>
      <c r="G851" s="308">
        <f t="shared" si="129"/>
        <v>3.9141311999999999</v>
      </c>
      <c r="H851" s="308"/>
      <c r="I851" s="294"/>
      <c r="J851" s="294"/>
      <c r="K851" s="294">
        <f t="shared" si="106"/>
        <v>2.0632000000000001</v>
      </c>
      <c r="L851" s="294">
        <f t="shared" si="107"/>
        <v>0.65947610324529615</v>
      </c>
      <c r="M851" s="309">
        <f t="shared" si="132"/>
        <v>1.1098167330611328</v>
      </c>
      <c r="N851" s="294">
        <v>0</v>
      </c>
      <c r="O851" s="294" t="str">
        <f t="shared" si="131"/>
        <v/>
      </c>
      <c r="P851" s="294"/>
    </row>
    <row r="852" spans="1:16">
      <c r="A852" s="294"/>
      <c r="B852" s="294" t="s">
        <v>584</v>
      </c>
      <c r="C852" s="294" t="s">
        <v>339</v>
      </c>
      <c r="D852" s="295" t="s">
        <v>1061</v>
      </c>
      <c r="E852" s="296">
        <v>11</v>
      </c>
      <c r="F852" s="294">
        <v>14.2</v>
      </c>
      <c r="G852" s="308">
        <f t="shared" si="129"/>
        <v>2.5891289999999998</v>
      </c>
      <c r="H852" s="308"/>
      <c r="I852" s="294"/>
      <c r="J852" s="294"/>
      <c r="K852" s="294">
        <f t="shared" si="106"/>
        <v>2.1592000000000002</v>
      </c>
      <c r="L852" s="294">
        <f t="shared" si="107"/>
        <v>0.60834542565835392</v>
      </c>
      <c r="M852" s="309">
        <f t="shared" si="132"/>
        <v>0.6054033835360032</v>
      </c>
      <c r="N852" s="294">
        <v>0</v>
      </c>
      <c r="O852" s="294" t="str">
        <f t="shared" si="131"/>
        <v/>
      </c>
      <c r="P852" s="294"/>
    </row>
    <row r="853" spans="1:16">
      <c r="A853" s="294"/>
      <c r="B853" s="294" t="s">
        <v>584</v>
      </c>
      <c r="C853" s="294" t="s">
        <v>339</v>
      </c>
      <c r="D853" s="295" t="s">
        <v>1061</v>
      </c>
      <c r="E853" s="296">
        <v>12</v>
      </c>
      <c r="F853" s="294">
        <v>9.1999999999999993</v>
      </c>
      <c r="G853" s="308">
        <f t="shared" si="129"/>
        <v>1.3030549999999996</v>
      </c>
      <c r="H853" s="308"/>
      <c r="I853" s="294"/>
      <c r="J853" s="294"/>
      <c r="K853" s="294">
        <f t="shared" si="106"/>
        <v>2.2791999999999999</v>
      </c>
      <c r="L853" s="294">
        <f t="shared" si="107"/>
        <v>0.53962031736309635</v>
      </c>
      <c r="M853" s="309">
        <f t="shared" si="132"/>
        <v>0.19832872902965845</v>
      </c>
      <c r="N853" s="294">
        <v>0</v>
      </c>
      <c r="O853" s="294" t="str">
        <f t="shared" si="131"/>
        <v/>
      </c>
      <c r="P853" s="294"/>
    </row>
    <row r="854" spans="1:16">
      <c r="A854" s="294">
        <v>72</v>
      </c>
      <c r="B854" s="294" t="s">
        <v>584</v>
      </c>
      <c r="C854" s="294" t="s">
        <v>585</v>
      </c>
      <c r="D854" s="295" t="s">
        <v>1061</v>
      </c>
      <c r="E854" s="296">
        <v>1</v>
      </c>
      <c r="F854" s="294">
        <v>-1.2</v>
      </c>
      <c r="G854" s="308">
        <f t="shared" si="129"/>
        <v>5.6958439600000004</v>
      </c>
      <c r="H854" s="294">
        <v>81.2</v>
      </c>
      <c r="I854" s="306">
        <v>0.99399999999999999</v>
      </c>
      <c r="J854" s="307">
        <v>-0.17</v>
      </c>
      <c r="K854" s="294">
        <f t="shared" si="106"/>
        <v>2.5287999999999999</v>
      </c>
      <c r="L854" s="294">
        <f t="shared" si="107"/>
        <v>0.3913526984164522</v>
      </c>
      <c r="M854" s="309">
        <f>$I$854*L854*(G854/K854)+$J$854</f>
        <v>0.70619005065011875</v>
      </c>
      <c r="N854" s="294">
        <v>0</v>
      </c>
      <c r="O854" s="294" t="str">
        <f t="shared" si="131"/>
        <v/>
      </c>
      <c r="P854" s="294">
        <f>AVERAGE(O854:O865)</f>
        <v>5.8884966722095227</v>
      </c>
    </row>
    <row r="855" spans="1:16">
      <c r="A855" s="294"/>
      <c r="B855" s="294" t="s">
        <v>584</v>
      </c>
      <c r="C855" s="294" t="s">
        <v>585</v>
      </c>
      <c r="D855" s="295" t="s">
        <v>1061</v>
      </c>
      <c r="E855" s="296">
        <v>2</v>
      </c>
      <c r="F855" s="294">
        <v>-0.6</v>
      </c>
      <c r="G855" s="308">
        <f t="shared" si="129"/>
        <v>9.3542097200000001</v>
      </c>
      <c r="H855" s="294">
        <v>108.4</v>
      </c>
      <c r="I855" s="297"/>
      <c r="J855" s="297"/>
      <c r="K855" s="294">
        <f t="shared" si="106"/>
        <v>2.5144000000000002</v>
      </c>
      <c r="L855" s="294">
        <f t="shared" si="107"/>
        <v>0.39973353071255374</v>
      </c>
      <c r="M855" s="309">
        <f t="shared" ref="M855:M865" si="133">$I$854*L855*(G855/K855)+$J$854</f>
        <v>1.3081880889002868</v>
      </c>
      <c r="N855" s="294">
        <v>0</v>
      </c>
      <c r="O855" s="294" t="str">
        <f t="shared" si="131"/>
        <v/>
      </c>
      <c r="P855" s="294"/>
    </row>
    <row r="856" spans="1:16">
      <c r="A856" s="294"/>
      <c r="B856" s="294" t="s">
        <v>584</v>
      </c>
      <c r="C856" s="294" t="s">
        <v>585</v>
      </c>
      <c r="D856" s="295" t="s">
        <v>1061</v>
      </c>
      <c r="E856" s="296">
        <v>3</v>
      </c>
      <c r="F856" s="294">
        <v>3.5</v>
      </c>
      <c r="G856" s="308">
        <f t="shared" si="129"/>
        <v>12.561761600000001</v>
      </c>
      <c r="H856" s="294">
        <v>143</v>
      </c>
      <c r="I856" s="297"/>
      <c r="J856" s="297"/>
      <c r="K856" s="294">
        <f t="shared" si="106"/>
        <v>2.4159999999999999</v>
      </c>
      <c r="L856" s="294">
        <f t="shared" si="107"/>
        <v>0.45803688004667531</v>
      </c>
      <c r="M856" s="309">
        <f t="shared" si="133"/>
        <v>2.1972299629996721</v>
      </c>
      <c r="N856" s="294">
        <v>0</v>
      </c>
      <c r="O856" s="294" t="str">
        <f t="shared" si="131"/>
        <v/>
      </c>
      <c r="P856" s="294"/>
    </row>
    <row r="857" spans="1:16">
      <c r="A857" s="294"/>
      <c r="B857" s="294" t="s">
        <v>584</v>
      </c>
      <c r="C857" s="294" t="s">
        <v>585</v>
      </c>
      <c r="D857" s="295" t="s">
        <v>1061</v>
      </c>
      <c r="E857" s="296">
        <v>4</v>
      </c>
      <c r="F857" s="294">
        <v>10.9</v>
      </c>
      <c r="G857" s="308">
        <f t="shared" si="129"/>
        <v>14.647143310000001</v>
      </c>
      <c r="H857" s="294">
        <v>146.69999999999999</v>
      </c>
      <c r="I857" s="297"/>
      <c r="J857" s="297"/>
      <c r="K857" s="294">
        <f t="shared" si="106"/>
        <v>2.2383999999999999</v>
      </c>
      <c r="L857" s="294">
        <f t="shared" si="107"/>
        <v>0.56345026615865479</v>
      </c>
      <c r="M857" s="309">
        <f t="shared" si="133"/>
        <v>3.4948584594820229</v>
      </c>
      <c r="N857" s="294">
        <v>0</v>
      </c>
      <c r="O857" s="294" t="str">
        <f t="shared" si="131"/>
        <v/>
      </c>
      <c r="P857" s="294"/>
    </row>
    <row r="858" spans="1:16">
      <c r="A858" s="294"/>
      <c r="B858" s="294" t="s">
        <v>584</v>
      </c>
      <c r="C858" s="294" t="s">
        <v>585</v>
      </c>
      <c r="D858" s="295" t="s">
        <v>1061</v>
      </c>
      <c r="E858" s="296">
        <v>5</v>
      </c>
      <c r="F858" s="294">
        <v>17</v>
      </c>
      <c r="G858" s="308">
        <f t="shared" ref="G858:G865" si="134">$T$11+$T$12*H858+INDEX($T$13:$T$24,MATCH(E858,$S$13:$S$24,0),1)</f>
        <v>20.774206470000003</v>
      </c>
      <c r="H858" s="294">
        <v>241.9</v>
      </c>
      <c r="I858" s="297"/>
      <c r="J858" s="297"/>
      <c r="K858" s="294">
        <f t="shared" si="106"/>
        <v>2.0920000000000001</v>
      </c>
      <c r="L858" s="294">
        <f t="shared" si="107"/>
        <v>0.6445742296890733</v>
      </c>
      <c r="M858" s="309">
        <f t="shared" si="133"/>
        <v>6.1924163594671136</v>
      </c>
      <c r="N858" s="294">
        <v>0</v>
      </c>
      <c r="O858" s="294" t="str">
        <f t="shared" si="131"/>
        <v/>
      </c>
      <c r="P858" s="294"/>
    </row>
    <row r="859" spans="1:16">
      <c r="A859" s="294"/>
      <c r="B859" s="294" t="s">
        <v>584</v>
      </c>
      <c r="C859" s="294" t="s">
        <v>585</v>
      </c>
      <c r="D859" s="295" t="s">
        <v>1061</v>
      </c>
      <c r="E859" s="296">
        <v>6</v>
      </c>
      <c r="F859" s="294">
        <v>19.100000000000001</v>
      </c>
      <c r="G859" s="308">
        <f t="shared" si="134"/>
        <v>15.5367005</v>
      </c>
      <c r="H859" s="294">
        <v>125</v>
      </c>
      <c r="I859" s="297"/>
      <c r="J859" s="297"/>
      <c r="K859" s="294">
        <f t="shared" si="106"/>
        <v>2.0415999999999999</v>
      </c>
      <c r="L859" s="294">
        <f t="shared" si="107"/>
        <v>0.67038469647805343</v>
      </c>
      <c r="M859" s="309">
        <f t="shared" si="133"/>
        <v>4.9010584107901378</v>
      </c>
      <c r="N859" s="294">
        <v>0</v>
      </c>
      <c r="O859" s="294" t="str">
        <f t="shared" si="131"/>
        <v/>
      </c>
      <c r="P859" s="294"/>
    </row>
    <row r="860" spans="1:16">
      <c r="A860" s="294"/>
      <c r="B860" s="294" t="s">
        <v>584</v>
      </c>
      <c r="C860" s="294" t="s">
        <v>585</v>
      </c>
      <c r="D860" s="295" t="s">
        <v>1061</v>
      </c>
      <c r="E860" s="296">
        <v>7</v>
      </c>
      <c r="F860" s="294">
        <v>24</v>
      </c>
      <c r="G860" s="308">
        <f t="shared" si="134"/>
        <v>16.58803717</v>
      </c>
      <c r="H860" s="294">
        <v>156.9</v>
      </c>
      <c r="I860" s="297"/>
      <c r="J860" s="297"/>
      <c r="K860" s="294">
        <f t="shared" si="106"/>
        <v>1.9239999999999999</v>
      </c>
      <c r="L860" s="294">
        <f t="shared" si="107"/>
        <v>0.72541051198364426</v>
      </c>
      <c r="M860" s="309">
        <f t="shared" si="133"/>
        <v>6.0467035951536694</v>
      </c>
      <c r="N860" s="294">
        <v>1</v>
      </c>
      <c r="O860" s="294">
        <f t="shared" si="131"/>
        <v>6.0467035951536694</v>
      </c>
      <c r="P860" s="294"/>
    </row>
    <row r="861" spans="1:16">
      <c r="A861" s="294"/>
      <c r="B861" s="294" t="s">
        <v>584</v>
      </c>
      <c r="C861" s="294" t="s">
        <v>585</v>
      </c>
      <c r="D861" s="295" t="s">
        <v>1061</v>
      </c>
      <c r="E861" s="296">
        <v>8</v>
      </c>
      <c r="F861" s="294">
        <v>24.3</v>
      </c>
      <c r="G861" s="308">
        <f t="shared" si="134"/>
        <v>15.617710959999998</v>
      </c>
      <c r="H861" s="294">
        <v>152.19999999999999</v>
      </c>
      <c r="I861" s="297"/>
      <c r="J861" s="297"/>
      <c r="K861" s="294">
        <f t="shared" si="106"/>
        <v>1.9167999999999998</v>
      </c>
      <c r="L861" s="294">
        <f t="shared" si="107"/>
        <v>0.7285282125422311</v>
      </c>
      <c r="M861" s="309">
        <f t="shared" si="133"/>
        <v>5.7302897492653759</v>
      </c>
      <c r="N861" s="294">
        <v>1</v>
      </c>
      <c r="O861" s="294">
        <f t="shared" si="131"/>
        <v>5.7302897492653759</v>
      </c>
      <c r="P861" s="294"/>
    </row>
    <row r="862" spans="1:16">
      <c r="A862" s="294"/>
      <c r="B862" s="294" t="s">
        <v>584</v>
      </c>
      <c r="C862" s="294" t="s">
        <v>585</v>
      </c>
      <c r="D862" s="295" t="s">
        <v>1061</v>
      </c>
      <c r="E862" s="296">
        <v>9</v>
      </c>
      <c r="F862" s="294">
        <v>18.899999999999999</v>
      </c>
      <c r="G862" s="308">
        <f t="shared" si="134"/>
        <v>12.47321887</v>
      </c>
      <c r="H862" s="294">
        <v>121.9</v>
      </c>
      <c r="I862" s="297"/>
      <c r="J862" s="297"/>
      <c r="K862" s="294">
        <f t="shared" si="106"/>
        <v>2.0464000000000002</v>
      </c>
      <c r="L862" s="294">
        <f t="shared" si="107"/>
        <v>0.66798094574788913</v>
      </c>
      <c r="M862" s="309">
        <f t="shared" si="133"/>
        <v>3.8770491116493346</v>
      </c>
      <c r="N862" s="294">
        <v>0</v>
      </c>
      <c r="O862" s="294" t="str">
        <f t="shared" si="131"/>
        <v/>
      </c>
      <c r="P862" s="294"/>
    </row>
    <row r="863" spans="1:16">
      <c r="A863" s="294"/>
      <c r="B863" s="294" t="s">
        <v>584</v>
      </c>
      <c r="C863" s="294" t="s">
        <v>585</v>
      </c>
      <c r="D863" s="295" t="s">
        <v>1061</v>
      </c>
      <c r="E863" s="296">
        <v>10</v>
      </c>
      <c r="F863" s="294">
        <v>12.8</v>
      </c>
      <c r="G863" s="308">
        <f t="shared" si="134"/>
        <v>12.23961117</v>
      </c>
      <c r="H863" s="294">
        <v>182.9</v>
      </c>
      <c r="I863" s="297"/>
      <c r="J863" s="297"/>
      <c r="K863" s="294">
        <f t="shared" si="106"/>
        <v>2.1928000000000001</v>
      </c>
      <c r="L863" s="294">
        <f t="shared" si="107"/>
        <v>0.58955346412535858</v>
      </c>
      <c r="M863" s="309">
        <f t="shared" si="133"/>
        <v>3.1009821843451331</v>
      </c>
      <c r="N863" s="294">
        <v>0</v>
      </c>
      <c r="O863" s="294" t="str">
        <f t="shared" si="131"/>
        <v/>
      </c>
      <c r="P863" s="294"/>
    </row>
    <row r="864" spans="1:16">
      <c r="A864" s="294"/>
      <c r="B864" s="294" t="s">
        <v>584</v>
      </c>
      <c r="C864" s="294" t="s">
        <v>585</v>
      </c>
      <c r="D864" s="295" t="s">
        <v>1061</v>
      </c>
      <c r="E864" s="296">
        <v>11</v>
      </c>
      <c r="F864" s="294">
        <v>9.3000000000000007</v>
      </c>
      <c r="G864" s="308">
        <f t="shared" si="134"/>
        <v>5.83465509</v>
      </c>
      <c r="H864" s="294">
        <v>71.3</v>
      </c>
      <c r="I864" s="297"/>
      <c r="J864" s="297"/>
      <c r="K864" s="294">
        <f t="shared" si="106"/>
        <v>2.2768000000000002</v>
      </c>
      <c r="L864" s="294">
        <f t="shared" si="107"/>
        <v>0.5410323242451861</v>
      </c>
      <c r="M864" s="309">
        <f t="shared" si="133"/>
        <v>1.2081608320821482</v>
      </c>
      <c r="N864" s="294">
        <v>0</v>
      </c>
      <c r="O864" s="294" t="str">
        <f t="shared" si="131"/>
        <v/>
      </c>
      <c r="P864" s="294"/>
    </row>
    <row r="865" spans="1:16">
      <c r="A865" s="294"/>
      <c r="B865" s="294" t="s">
        <v>584</v>
      </c>
      <c r="C865" s="294" t="s">
        <v>585</v>
      </c>
      <c r="D865" s="295" t="s">
        <v>1061</v>
      </c>
      <c r="E865" s="296">
        <v>12</v>
      </c>
      <c r="F865" s="294">
        <v>3.7</v>
      </c>
      <c r="G865" s="308">
        <f t="shared" si="134"/>
        <v>5.1995070799999992</v>
      </c>
      <c r="H865" s="294">
        <v>85.6</v>
      </c>
      <c r="I865" s="297"/>
      <c r="J865" s="297"/>
      <c r="K865" s="294">
        <f t="shared" si="106"/>
        <v>2.4112</v>
      </c>
      <c r="L865" s="294">
        <f t="shared" si="107"/>
        <v>0.46090951699322635</v>
      </c>
      <c r="M865" s="309">
        <f t="shared" si="133"/>
        <v>0.81794097671888943</v>
      </c>
      <c r="N865" s="294">
        <v>0</v>
      </c>
      <c r="O865" s="294" t="str">
        <f t="shared" si="131"/>
        <v/>
      </c>
      <c r="P865" s="294"/>
    </row>
    <row r="866" spans="1:16">
      <c r="A866" s="294">
        <v>73</v>
      </c>
      <c r="B866" s="294" t="s">
        <v>341</v>
      </c>
      <c r="C866" s="294" t="s">
        <v>341</v>
      </c>
      <c r="D866" s="295" t="s">
        <v>1061</v>
      </c>
      <c r="E866" s="296">
        <v>1</v>
      </c>
      <c r="F866" s="294">
        <v>6.9</v>
      </c>
      <c r="G866" s="294">
        <v>10.1</v>
      </c>
      <c r="H866" s="294"/>
      <c r="I866" s="294">
        <v>0.83599999999999997</v>
      </c>
      <c r="J866" s="294">
        <v>0.39</v>
      </c>
      <c r="K866" s="294">
        <f t="shared" si="106"/>
        <v>2.3344</v>
      </c>
      <c r="L866" s="294">
        <f t="shared" si="107"/>
        <v>0.50688071678429469</v>
      </c>
      <c r="M866" s="297">
        <f>$I$866*L866*(G866/K866)+$J$866</f>
        <v>2.2234038811856878</v>
      </c>
      <c r="N866" s="294">
        <v>0</v>
      </c>
      <c r="O866" s="294" t="str">
        <f t="shared" si="131"/>
        <v/>
      </c>
      <c r="P866" s="294">
        <f>AVERAGE(O866:O877)</f>
        <v>6.2846193737340883</v>
      </c>
    </row>
    <row r="867" spans="1:16">
      <c r="A867" s="294"/>
      <c r="B867" s="294" t="s">
        <v>341</v>
      </c>
      <c r="C867" s="294" t="s">
        <v>341</v>
      </c>
      <c r="D867" s="295" t="s">
        <v>1061</v>
      </c>
      <c r="E867" s="296">
        <v>2</v>
      </c>
      <c r="F867" s="294">
        <v>7.6</v>
      </c>
      <c r="G867" s="294">
        <v>13.3</v>
      </c>
      <c r="H867" s="294"/>
      <c r="I867" s="294"/>
      <c r="J867" s="294"/>
      <c r="K867" s="294">
        <f t="shared" si="106"/>
        <v>2.3176000000000001</v>
      </c>
      <c r="L867" s="294">
        <f t="shared" si="107"/>
        <v>0.51689044020520014</v>
      </c>
      <c r="M867" s="297">
        <f t="shared" ref="M867:M877" si="135">$I$866*L867*(G867/K867)+$J$866</f>
        <v>2.8698073121132119</v>
      </c>
      <c r="N867" s="294">
        <v>0</v>
      </c>
      <c r="O867" s="294" t="str">
        <f t="shared" si="131"/>
        <v/>
      </c>
      <c r="P867" s="294"/>
    </row>
    <row r="868" spans="1:16">
      <c r="A868" s="294"/>
      <c r="B868" s="294" t="s">
        <v>341</v>
      </c>
      <c r="C868" s="294" t="s">
        <v>341</v>
      </c>
      <c r="D868" s="295" t="s">
        <v>1061</v>
      </c>
      <c r="E868" s="296">
        <v>3</v>
      </c>
      <c r="F868" s="294">
        <v>10.9</v>
      </c>
      <c r="G868" s="294">
        <v>16.5</v>
      </c>
      <c r="H868" s="294"/>
      <c r="I868" s="294"/>
      <c r="J868" s="294"/>
      <c r="K868" s="294">
        <f t="shared" si="106"/>
        <v>2.2383999999999999</v>
      </c>
      <c r="L868" s="294">
        <f t="shared" si="107"/>
        <v>0.56345026615865479</v>
      </c>
      <c r="M868" s="297">
        <f t="shared" si="135"/>
        <v>3.8622270243890653</v>
      </c>
      <c r="N868" s="294">
        <v>0</v>
      </c>
      <c r="O868" s="294" t="str">
        <f t="shared" si="131"/>
        <v/>
      </c>
      <c r="P868" s="294"/>
    </row>
    <row r="869" spans="1:16">
      <c r="A869" s="294"/>
      <c r="B869" s="294" t="s">
        <v>341</v>
      </c>
      <c r="C869" s="294" t="s">
        <v>341</v>
      </c>
      <c r="D869" s="295" t="s">
        <v>1061</v>
      </c>
      <c r="E869" s="296">
        <v>4</v>
      </c>
      <c r="F869" s="294">
        <v>15.4</v>
      </c>
      <c r="G869" s="294">
        <v>14.2</v>
      </c>
      <c r="H869" s="294"/>
      <c r="I869" s="294"/>
      <c r="J869" s="294"/>
      <c r="K869" s="294">
        <f t="shared" si="106"/>
        <v>2.1303999999999998</v>
      </c>
      <c r="L869" s="294">
        <f t="shared" si="107"/>
        <v>0.62410798525255673</v>
      </c>
      <c r="M869" s="297">
        <f t="shared" si="135"/>
        <v>3.8677087469630829</v>
      </c>
      <c r="N869" s="294">
        <v>0</v>
      </c>
      <c r="O869" s="294" t="str">
        <f t="shared" si="131"/>
        <v/>
      </c>
      <c r="P869" s="294"/>
    </row>
    <row r="870" spans="1:16">
      <c r="A870" s="294"/>
      <c r="B870" s="294" t="s">
        <v>341</v>
      </c>
      <c r="C870" s="294" t="s">
        <v>341</v>
      </c>
      <c r="D870" s="295" t="s">
        <v>1061</v>
      </c>
      <c r="E870" s="296">
        <v>5</v>
      </c>
      <c r="F870" s="294">
        <v>20.5</v>
      </c>
      <c r="G870" s="294">
        <v>21.7</v>
      </c>
      <c r="H870" s="294"/>
      <c r="I870" s="294"/>
      <c r="J870" s="294"/>
      <c r="K870" s="294">
        <f t="shared" si="106"/>
        <v>2.008</v>
      </c>
      <c r="L870" s="294">
        <f t="shared" si="107"/>
        <v>0.6868755481020804</v>
      </c>
      <c r="M870" s="297">
        <f t="shared" si="135"/>
        <v>6.5955511420465429</v>
      </c>
      <c r="N870" s="294">
        <v>0</v>
      </c>
      <c r="O870" s="294" t="str">
        <f t="shared" si="131"/>
        <v/>
      </c>
      <c r="P870" s="294"/>
    </row>
    <row r="871" spans="1:16">
      <c r="A871" s="294"/>
      <c r="B871" s="294" t="s">
        <v>341</v>
      </c>
      <c r="C871" s="294" t="s">
        <v>341</v>
      </c>
      <c r="D871" s="295" t="s">
        <v>1061</v>
      </c>
      <c r="E871" s="296">
        <v>6</v>
      </c>
      <c r="F871" s="294">
        <v>21.8</v>
      </c>
      <c r="G871" s="294">
        <v>16.3</v>
      </c>
      <c r="H871" s="294"/>
      <c r="I871" s="294"/>
      <c r="J871" s="294"/>
      <c r="K871" s="294">
        <f t="shared" si="106"/>
        <v>1.9767999999999999</v>
      </c>
      <c r="L871" s="294">
        <f t="shared" si="107"/>
        <v>0.70164698620294608</v>
      </c>
      <c r="M871" s="297">
        <f t="shared" si="135"/>
        <v>5.2267073814196205</v>
      </c>
      <c r="N871" s="294">
        <v>0</v>
      </c>
      <c r="O871" s="294" t="str">
        <f t="shared" si="131"/>
        <v/>
      </c>
      <c r="P871" s="294"/>
    </row>
    <row r="872" spans="1:16">
      <c r="A872" s="294"/>
      <c r="B872" s="294" t="s">
        <v>341</v>
      </c>
      <c r="C872" s="294" t="s">
        <v>341</v>
      </c>
      <c r="D872" s="295" t="s">
        <v>1061</v>
      </c>
      <c r="E872" s="296">
        <v>7</v>
      </c>
      <c r="F872" s="294">
        <v>26</v>
      </c>
      <c r="G872" s="294">
        <v>17.399999999999999</v>
      </c>
      <c r="H872" s="294"/>
      <c r="I872" s="294"/>
      <c r="J872" s="294"/>
      <c r="K872" s="294">
        <f t="shared" si="106"/>
        <v>1.8759999999999999</v>
      </c>
      <c r="L872" s="294">
        <f t="shared" si="107"/>
        <v>0.74563054537472673</v>
      </c>
      <c r="M872" s="297">
        <f t="shared" si="135"/>
        <v>6.1715779132403634</v>
      </c>
      <c r="N872" s="294">
        <v>1</v>
      </c>
      <c r="O872" s="294">
        <f t="shared" si="131"/>
        <v>6.1715779132403634</v>
      </c>
      <c r="P872" s="294"/>
    </row>
    <row r="873" spans="1:16">
      <c r="A873" s="294"/>
      <c r="B873" s="294" t="s">
        <v>341</v>
      </c>
      <c r="C873" s="294" t="s">
        <v>341</v>
      </c>
      <c r="D873" s="295" t="s">
        <v>1061</v>
      </c>
      <c r="E873" s="296">
        <v>8</v>
      </c>
      <c r="F873" s="294">
        <v>27.5</v>
      </c>
      <c r="G873" s="294">
        <v>17.399999999999999</v>
      </c>
      <c r="H873" s="294"/>
      <c r="I873" s="294"/>
      <c r="J873" s="294"/>
      <c r="K873" s="294">
        <f t="shared" si="106"/>
        <v>1.8399999999999999</v>
      </c>
      <c r="L873" s="294">
        <f t="shared" si="107"/>
        <v>0.75991970074926962</v>
      </c>
      <c r="M873" s="297">
        <f t="shared" si="135"/>
        <v>6.3976608342278123</v>
      </c>
      <c r="N873" s="294">
        <v>1</v>
      </c>
      <c r="O873" s="294">
        <f t="shared" si="131"/>
        <v>6.3976608342278123</v>
      </c>
      <c r="P873" s="294"/>
    </row>
    <row r="874" spans="1:16">
      <c r="A874" s="294"/>
      <c r="B874" s="294" t="s">
        <v>341</v>
      </c>
      <c r="C874" s="294" t="s">
        <v>341</v>
      </c>
      <c r="D874" s="295" t="s">
        <v>1061</v>
      </c>
      <c r="E874" s="296">
        <v>9</v>
      </c>
      <c r="F874" s="294">
        <v>23.3</v>
      </c>
      <c r="G874" s="294">
        <v>13.3</v>
      </c>
      <c r="H874" s="294"/>
      <c r="I874" s="294"/>
      <c r="J874" s="294"/>
      <c r="K874" s="294">
        <f t="shared" si="106"/>
        <v>1.9407999999999999</v>
      </c>
      <c r="L874" s="294">
        <f t="shared" si="107"/>
        <v>0.71802052338175526</v>
      </c>
      <c r="M874" s="297">
        <f t="shared" si="135"/>
        <v>4.5035235961340998</v>
      </c>
      <c r="N874" s="294">
        <v>0</v>
      </c>
      <c r="O874" s="294" t="str">
        <f t="shared" si="131"/>
        <v/>
      </c>
      <c r="P874" s="294"/>
    </row>
    <row r="875" spans="1:16">
      <c r="A875" s="294"/>
      <c r="B875" s="294" t="s">
        <v>341</v>
      </c>
      <c r="C875" s="294" t="s">
        <v>341</v>
      </c>
      <c r="D875" s="295" t="s">
        <v>1061</v>
      </c>
      <c r="E875" s="296">
        <v>10</v>
      </c>
      <c r="F875" s="294">
        <v>19.2</v>
      </c>
      <c r="G875" s="294">
        <v>14.6</v>
      </c>
      <c r="H875" s="294"/>
      <c r="I875" s="294"/>
      <c r="J875" s="294"/>
      <c r="K875" s="294">
        <f t="shared" si="106"/>
        <v>2.0392000000000001</v>
      </c>
      <c r="L875" s="294">
        <f t="shared" si="107"/>
        <v>0.67158214765081492</v>
      </c>
      <c r="M875" s="297">
        <f t="shared" si="135"/>
        <v>4.4097445377436184</v>
      </c>
      <c r="N875" s="294">
        <v>0</v>
      </c>
      <c r="O875" s="294" t="str">
        <f t="shared" si="131"/>
        <v/>
      </c>
      <c r="P875" s="294"/>
    </row>
    <row r="876" spans="1:16">
      <c r="A876" s="294"/>
      <c r="B876" s="294" t="s">
        <v>341</v>
      </c>
      <c r="C876" s="294" t="s">
        <v>341</v>
      </c>
      <c r="D876" s="295" t="s">
        <v>1061</v>
      </c>
      <c r="E876" s="296">
        <v>11</v>
      </c>
      <c r="F876" s="294">
        <v>15.5</v>
      </c>
      <c r="G876" s="294">
        <v>9.1</v>
      </c>
      <c r="H876" s="294"/>
      <c r="I876" s="294"/>
      <c r="J876" s="294"/>
      <c r="K876" s="294">
        <f t="shared" si="106"/>
        <v>2.1280000000000001</v>
      </c>
      <c r="L876" s="294">
        <f t="shared" si="107"/>
        <v>0.62540609843700268</v>
      </c>
      <c r="M876" s="297">
        <f t="shared" si="135"/>
        <v>2.6258268019122846</v>
      </c>
      <c r="N876" s="294">
        <v>0</v>
      </c>
      <c r="O876" s="294" t="str">
        <f t="shared" si="131"/>
        <v/>
      </c>
      <c r="P876" s="294"/>
    </row>
    <row r="877" spans="1:16">
      <c r="A877" s="294"/>
      <c r="B877" s="294" t="s">
        <v>341</v>
      </c>
      <c r="C877" s="294" t="s">
        <v>341</v>
      </c>
      <c r="D877" s="295" t="s">
        <v>1061</v>
      </c>
      <c r="E877" s="296">
        <v>12</v>
      </c>
      <c r="F877" s="294">
        <v>11.2</v>
      </c>
      <c r="G877" s="294">
        <v>9.3000000000000007</v>
      </c>
      <c r="H877" s="294"/>
      <c r="I877" s="294"/>
      <c r="J877" s="294"/>
      <c r="K877" s="294">
        <f t="shared" si="106"/>
        <v>2.2311999999999999</v>
      </c>
      <c r="L877" s="294">
        <f t="shared" si="107"/>
        <v>0.56761265844301101</v>
      </c>
      <c r="M877" s="297">
        <f t="shared" si="135"/>
        <v>2.3678930158043756</v>
      </c>
      <c r="N877" s="294">
        <v>0</v>
      </c>
      <c r="O877" s="294" t="str">
        <f t="shared" si="131"/>
        <v/>
      </c>
      <c r="P877" s="294"/>
    </row>
    <row r="878" spans="1:16">
      <c r="A878" s="294">
        <v>74</v>
      </c>
      <c r="B878" s="294" t="s">
        <v>586</v>
      </c>
      <c r="C878" s="294" t="s">
        <v>340</v>
      </c>
      <c r="D878" s="295" t="s">
        <v>1061</v>
      </c>
      <c r="E878" s="296">
        <v>1</v>
      </c>
      <c r="F878" s="294">
        <v>6.5</v>
      </c>
      <c r="G878" s="308">
        <f t="shared" ref="G878:G909" si="136">$T$11+$T$12*H878+INDEX($T$13:$T$24,MATCH(E878,$S$13:$S$24,0),1)</f>
        <v>11.36754874</v>
      </c>
      <c r="H878" s="294">
        <v>205.8</v>
      </c>
      <c r="I878" s="306">
        <v>0.67300000000000004</v>
      </c>
      <c r="J878" s="307">
        <v>0.9</v>
      </c>
      <c r="K878" s="294">
        <f t="shared" si="106"/>
        <v>2.3439999999999999</v>
      </c>
      <c r="L878" s="294">
        <f t="shared" si="107"/>
        <v>0.50114804539465463</v>
      </c>
      <c r="M878" s="309">
        <f>$I$878*L878*(G878/K878)+$J$878</f>
        <v>2.5356497917756755</v>
      </c>
      <c r="N878" s="294">
        <v>0</v>
      </c>
      <c r="O878" s="294" t="str">
        <f t="shared" si="131"/>
        <v/>
      </c>
      <c r="P878" s="294">
        <f>AVERAGE(O878:O889)</f>
        <v>5.5164302511849153</v>
      </c>
    </row>
    <row r="879" spans="1:16">
      <c r="A879" s="294"/>
      <c r="B879" s="294" t="s">
        <v>586</v>
      </c>
      <c r="C879" s="294" t="s">
        <v>340</v>
      </c>
      <c r="D879" s="295" t="s">
        <v>1061</v>
      </c>
      <c r="E879" s="296">
        <v>2</v>
      </c>
      <c r="F879" s="294">
        <v>6.9</v>
      </c>
      <c r="G879" s="308">
        <f t="shared" si="136"/>
        <v>12.85464389</v>
      </c>
      <c r="H879" s="294">
        <v>185.3</v>
      </c>
      <c r="I879" s="297"/>
      <c r="J879" s="297"/>
      <c r="K879" s="294">
        <f t="shared" si="106"/>
        <v>2.3344</v>
      </c>
      <c r="L879" s="294">
        <f t="shared" si="107"/>
        <v>0.50688071678429469</v>
      </c>
      <c r="M879" s="309">
        <f t="shared" ref="M879:M889" si="137">$I$878*L879*(G879/K879)+$J$878</f>
        <v>2.7784758209119462</v>
      </c>
      <c r="N879" s="294">
        <v>0</v>
      </c>
      <c r="O879" s="294" t="str">
        <f t="shared" si="131"/>
        <v/>
      </c>
      <c r="P879" s="294"/>
    </row>
    <row r="880" spans="1:16">
      <c r="A880" s="294"/>
      <c r="B880" s="294" t="s">
        <v>586</v>
      </c>
      <c r="C880" s="294" t="s">
        <v>340</v>
      </c>
      <c r="D880" s="295" t="s">
        <v>1061</v>
      </c>
      <c r="E880" s="296">
        <v>3</v>
      </c>
      <c r="F880" s="294">
        <v>10.4</v>
      </c>
      <c r="G880" s="308">
        <f t="shared" si="136"/>
        <v>15.543275749999999</v>
      </c>
      <c r="H880" s="294">
        <v>208.5</v>
      </c>
      <c r="I880" s="297"/>
      <c r="J880" s="297"/>
      <c r="K880" s="294">
        <f t="shared" si="106"/>
        <v>2.2504</v>
      </c>
      <c r="L880" s="294">
        <f t="shared" si="107"/>
        <v>0.55648248816913681</v>
      </c>
      <c r="M880" s="309">
        <f t="shared" si="137"/>
        <v>3.4867198693310124</v>
      </c>
      <c r="N880" s="294">
        <v>0</v>
      </c>
      <c r="O880" s="294" t="str">
        <f t="shared" si="131"/>
        <v/>
      </c>
      <c r="P880" s="294"/>
    </row>
    <row r="881" spans="1:16">
      <c r="A881" s="294"/>
      <c r="B881" s="294" t="s">
        <v>586</v>
      </c>
      <c r="C881" s="294" t="s">
        <v>340</v>
      </c>
      <c r="D881" s="295" t="s">
        <v>1061</v>
      </c>
      <c r="E881" s="296">
        <v>4</v>
      </c>
      <c r="F881" s="294">
        <v>15.5</v>
      </c>
      <c r="G881" s="308">
        <f t="shared" si="136"/>
        <v>13.882419070000001</v>
      </c>
      <c r="H881" s="294">
        <v>129.9</v>
      </c>
      <c r="I881" s="297"/>
      <c r="J881" s="297"/>
      <c r="K881" s="294">
        <f t="shared" si="106"/>
        <v>2.1280000000000001</v>
      </c>
      <c r="L881" s="294">
        <f t="shared" si="107"/>
        <v>0.62540609843700268</v>
      </c>
      <c r="M881" s="309">
        <f t="shared" si="137"/>
        <v>3.6458113935265621</v>
      </c>
      <c r="N881" s="294">
        <v>0</v>
      </c>
      <c r="O881" s="294" t="str">
        <f t="shared" si="131"/>
        <v/>
      </c>
      <c r="P881" s="294"/>
    </row>
    <row r="882" spans="1:16">
      <c r="A882" s="294"/>
      <c r="B882" s="294" t="s">
        <v>586</v>
      </c>
      <c r="C882" s="294" t="s">
        <v>340</v>
      </c>
      <c r="D882" s="295" t="s">
        <v>1061</v>
      </c>
      <c r="E882" s="296">
        <v>5</v>
      </c>
      <c r="F882" s="294">
        <v>20.5</v>
      </c>
      <c r="G882" s="308">
        <f t="shared" si="136"/>
        <v>20.646752429999999</v>
      </c>
      <c r="H882" s="294">
        <v>239.1</v>
      </c>
      <c r="I882" s="297"/>
      <c r="J882" s="297"/>
      <c r="K882" s="294">
        <f t="shared" si="106"/>
        <v>2.008</v>
      </c>
      <c r="L882" s="294">
        <f t="shared" si="107"/>
        <v>0.6868755481020804</v>
      </c>
      <c r="M882" s="309">
        <f t="shared" si="137"/>
        <v>5.653146086024937</v>
      </c>
      <c r="N882" s="294">
        <v>0</v>
      </c>
      <c r="O882" s="294" t="str">
        <f t="shared" si="131"/>
        <v/>
      </c>
      <c r="P882" s="294"/>
    </row>
    <row r="883" spans="1:16">
      <c r="A883" s="294"/>
      <c r="B883" s="294" t="s">
        <v>586</v>
      </c>
      <c r="C883" s="294" t="s">
        <v>340</v>
      </c>
      <c r="D883" s="295" t="s">
        <v>1061</v>
      </c>
      <c r="E883" s="296">
        <v>6</v>
      </c>
      <c r="F883" s="294">
        <v>21.8</v>
      </c>
      <c r="G883" s="308">
        <f t="shared" si="136"/>
        <v>16.214938070000002</v>
      </c>
      <c r="H883" s="294">
        <v>139.9</v>
      </c>
      <c r="I883" s="297"/>
      <c r="J883" s="297"/>
      <c r="K883" s="294">
        <f t="shared" si="106"/>
        <v>1.9767999999999999</v>
      </c>
      <c r="L883" s="294">
        <f t="shared" si="107"/>
        <v>0.70164698620294608</v>
      </c>
      <c r="M883" s="309">
        <f t="shared" si="137"/>
        <v>4.7733459703735353</v>
      </c>
      <c r="N883" s="294">
        <v>0</v>
      </c>
      <c r="O883" s="294" t="str">
        <f t="shared" si="131"/>
        <v/>
      </c>
      <c r="P883" s="294"/>
    </row>
    <row r="884" spans="1:16">
      <c r="A884" s="294"/>
      <c r="B884" s="294" t="s">
        <v>586</v>
      </c>
      <c r="C884" s="294" t="s">
        <v>340</v>
      </c>
      <c r="D884" s="295" t="s">
        <v>1061</v>
      </c>
      <c r="E884" s="296">
        <v>7</v>
      </c>
      <c r="F884" s="294">
        <v>25.6</v>
      </c>
      <c r="G884" s="308">
        <f t="shared" si="136"/>
        <v>16.610796819999997</v>
      </c>
      <c r="H884" s="294">
        <v>157.4</v>
      </c>
      <c r="I884" s="297"/>
      <c r="J884" s="297"/>
      <c r="K884" s="294">
        <f t="shared" si="106"/>
        <v>1.8855999999999999</v>
      </c>
      <c r="L884" s="294">
        <f t="shared" si="107"/>
        <v>0.74169310776479802</v>
      </c>
      <c r="M884" s="309">
        <f t="shared" si="137"/>
        <v>5.2972403458761992</v>
      </c>
      <c r="N884" s="294">
        <v>1</v>
      </c>
      <c r="O884" s="294">
        <f t="shared" si="131"/>
        <v>5.2972403458761992</v>
      </c>
      <c r="P884" s="294"/>
    </row>
    <row r="885" spans="1:16">
      <c r="A885" s="294"/>
      <c r="B885" s="294" t="s">
        <v>586</v>
      </c>
      <c r="C885" s="294" t="s">
        <v>340</v>
      </c>
      <c r="D885" s="295" t="s">
        <v>1061</v>
      </c>
      <c r="E885" s="296">
        <v>8</v>
      </c>
      <c r="F885" s="294">
        <v>27.5</v>
      </c>
      <c r="G885" s="308">
        <f t="shared" si="136"/>
        <v>17.397515590000001</v>
      </c>
      <c r="H885" s="294">
        <v>191.3</v>
      </c>
      <c r="I885" s="297"/>
      <c r="J885" s="297"/>
      <c r="K885" s="294">
        <f t="shared" si="106"/>
        <v>1.8399999999999999</v>
      </c>
      <c r="L885" s="294">
        <f t="shared" si="107"/>
        <v>0.75991970074926962</v>
      </c>
      <c r="M885" s="309">
        <f t="shared" si="137"/>
        <v>5.7356201564936313</v>
      </c>
      <c r="N885" s="294">
        <v>1</v>
      </c>
      <c r="O885" s="294">
        <f t="shared" si="131"/>
        <v>5.7356201564936313</v>
      </c>
      <c r="P885" s="294"/>
    </row>
    <row r="886" spans="1:16">
      <c r="A886" s="294"/>
      <c r="B886" s="294" t="s">
        <v>586</v>
      </c>
      <c r="C886" s="294" t="s">
        <v>340</v>
      </c>
      <c r="D886" s="295" t="s">
        <v>1061</v>
      </c>
      <c r="E886" s="296">
        <v>9</v>
      </c>
      <c r="F886" s="294">
        <v>23.3</v>
      </c>
      <c r="G886" s="308">
        <f t="shared" si="136"/>
        <v>13.888869099999999</v>
      </c>
      <c r="H886" s="294">
        <v>153</v>
      </c>
      <c r="I886" s="297"/>
      <c r="J886" s="297"/>
      <c r="K886" s="294">
        <f t="shared" si="106"/>
        <v>1.9407999999999999</v>
      </c>
      <c r="L886" s="294">
        <f t="shared" si="107"/>
        <v>0.71802052338175526</v>
      </c>
      <c r="M886" s="309">
        <f t="shared" si="137"/>
        <v>4.3581037869044161</v>
      </c>
      <c r="N886" s="294">
        <v>0</v>
      </c>
      <c r="O886" s="294" t="str">
        <f t="shared" si="131"/>
        <v/>
      </c>
      <c r="P886" s="294"/>
    </row>
    <row r="887" spans="1:16">
      <c r="A887" s="294"/>
      <c r="B887" s="294" t="s">
        <v>586</v>
      </c>
      <c r="C887" s="294" t="s">
        <v>340</v>
      </c>
      <c r="D887" s="295" t="s">
        <v>1061</v>
      </c>
      <c r="E887" s="296">
        <v>10</v>
      </c>
      <c r="F887" s="294">
        <v>19.3</v>
      </c>
      <c r="G887" s="308">
        <f t="shared" si="136"/>
        <v>14.196941070000001</v>
      </c>
      <c r="H887" s="294">
        <v>225.9</v>
      </c>
      <c r="I887" s="297"/>
      <c r="J887" s="297"/>
      <c r="K887" s="294">
        <f t="shared" si="106"/>
        <v>2.0367999999999999</v>
      </c>
      <c r="L887" s="294">
        <f t="shared" si="107"/>
        <v>0.67277663480485017</v>
      </c>
      <c r="M887" s="309">
        <f t="shared" si="137"/>
        <v>4.0559663049406085</v>
      </c>
      <c r="N887" s="294">
        <v>0</v>
      </c>
      <c r="O887" s="294" t="str">
        <f t="shared" si="131"/>
        <v/>
      </c>
      <c r="P887" s="294"/>
    </row>
    <row r="888" spans="1:16">
      <c r="A888" s="294"/>
      <c r="B888" s="294" t="s">
        <v>586</v>
      </c>
      <c r="C888" s="294" t="s">
        <v>340</v>
      </c>
      <c r="D888" s="295" t="s">
        <v>1061</v>
      </c>
      <c r="E888" s="296">
        <v>11</v>
      </c>
      <c r="F888" s="294">
        <v>15.5</v>
      </c>
      <c r="G888" s="308">
        <f t="shared" si="136"/>
        <v>8.6340920400000005</v>
      </c>
      <c r="H888" s="294">
        <v>132.80000000000001</v>
      </c>
      <c r="I888" s="297"/>
      <c r="J888" s="297"/>
      <c r="K888" s="294">
        <f t="shared" si="106"/>
        <v>2.1280000000000001</v>
      </c>
      <c r="L888" s="294">
        <f t="shared" si="107"/>
        <v>0.62540609843700268</v>
      </c>
      <c r="M888" s="309">
        <f t="shared" si="137"/>
        <v>2.6077418695291552</v>
      </c>
      <c r="N888" s="294">
        <v>0</v>
      </c>
      <c r="O888" s="294" t="str">
        <f t="shared" si="131"/>
        <v/>
      </c>
      <c r="P888" s="294"/>
    </row>
    <row r="889" spans="1:16">
      <c r="A889" s="294"/>
      <c r="B889" s="294" t="s">
        <v>586</v>
      </c>
      <c r="C889" s="294" t="s">
        <v>340</v>
      </c>
      <c r="D889" s="295" t="s">
        <v>1061</v>
      </c>
      <c r="E889" s="296">
        <v>12</v>
      </c>
      <c r="F889" s="294">
        <v>10.7</v>
      </c>
      <c r="G889" s="308">
        <f t="shared" si="136"/>
        <v>9.851579540000003</v>
      </c>
      <c r="H889" s="294">
        <v>187.8</v>
      </c>
      <c r="I889" s="297"/>
      <c r="J889" s="297"/>
      <c r="K889" s="294">
        <f t="shared" si="106"/>
        <v>2.2431999999999999</v>
      </c>
      <c r="L889" s="294">
        <f t="shared" si="107"/>
        <v>0.56066760907995394</v>
      </c>
      <c r="M889" s="309">
        <f t="shared" si="137"/>
        <v>2.5571369564441113</v>
      </c>
      <c r="N889" s="294">
        <v>0</v>
      </c>
      <c r="O889" s="294" t="str">
        <f t="shared" si="131"/>
        <v/>
      </c>
      <c r="P889" s="294"/>
    </row>
    <row r="890" spans="1:16">
      <c r="A890" s="294">
        <v>75</v>
      </c>
      <c r="B890" s="294" t="s">
        <v>586</v>
      </c>
      <c r="C890" s="294" t="s">
        <v>587</v>
      </c>
      <c r="D890" s="295" t="s">
        <v>1061</v>
      </c>
      <c r="E890" s="296">
        <v>1</v>
      </c>
      <c r="F890" s="294">
        <v>7.1</v>
      </c>
      <c r="G890" s="308">
        <f t="shared" si="136"/>
        <v>11.613352959999997</v>
      </c>
      <c r="H890" s="294">
        <v>211.2</v>
      </c>
      <c r="I890" s="306">
        <v>0.59299999999999997</v>
      </c>
      <c r="J890" s="307">
        <v>1.67</v>
      </c>
      <c r="K890" s="294">
        <f t="shared" si="106"/>
        <v>2.3296000000000001</v>
      </c>
      <c r="L890" s="294">
        <f t="shared" si="107"/>
        <v>0.50974381096902943</v>
      </c>
      <c r="M890" s="309">
        <f>$I$890*L890*(G890/K890)+$J$890</f>
        <v>3.1768947604754469</v>
      </c>
      <c r="N890" s="294">
        <v>0</v>
      </c>
      <c r="O890" s="294" t="str">
        <f t="shared" si="131"/>
        <v/>
      </c>
      <c r="P890" s="294">
        <f>AVERAGE(O890:O901)</f>
        <v>5.8580429674298502</v>
      </c>
    </row>
    <row r="891" spans="1:16">
      <c r="A891" s="294"/>
      <c r="B891" s="294" t="s">
        <v>586</v>
      </c>
      <c r="C891" s="294" t="s">
        <v>587</v>
      </c>
      <c r="D891" s="295" t="s">
        <v>1061</v>
      </c>
      <c r="E891" s="296">
        <v>2</v>
      </c>
      <c r="F891" s="294">
        <v>7.3</v>
      </c>
      <c r="G891" s="308">
        <f t="shared" si="136"/>
        <v>12.918370909999998</v>
      </c>
      <c r="H891" s="294">
        <v>186.7</v>
      </c>
      <c r="I891" s="297"/>
      <c r="J891" s="297"/>
      <c r="K891" s="294">
        <f t="shared" si="106"/>
        <v>2.3248000000000002</v>
      </c>
      <c r="L891" s="294">
        <f t="shared" si="107"/>
        <v>0.5126044692087397</v>
      </c>
      <c r="M891" s="309">
        <f t="shared" ref="M891:M901" si="138">$I$890*L891*(G891/K891)+$J$890</f>
        <v>3.3591150616714418</v>
      </c>
      <c r="N891" s="294">
        <v>0</v>
      </c>
      <c r="O891" s="294" t="str">
        <f t="shared" si="131"/>
        <v/>
      </c>
      <c r="P891" s="294"/>
    </row>
    <row r="892" spans="1:16">
      <c r="A892" s="294"/>
      <c r="B892" s="294" t="s">
        <v>586</v>
      </c>
      <c r="C892" s="294" t="s">
        <v>587</v>
      </c>
      <c r="D892" s="295" t="s">
        <v>1061</v>
      </c>
      <c r="E892" s="296">
        <v>3</v>
      </c>
      <c r="F892" s="294">
        <v>10.7</v>
      </c>
      <c r="G892" s="308">
        <f t="shared" si="136"/>
        <v>16.244272970000001</v>
      </c>
      <c r="H892" s="294">
        <v>223.9</v>
      </c>
      <c r="I892" s="297"/>
      <c r="J892" s="297"/>
      <c r="K892" s="294">
        <f t="shared" si="106"/>
        <v>2.2431999999999999</v>
      </c>
      <c r="L892" s="294">
        <f t="shared" si="107"/>
        <v>0.56066760907995394</v>
      </c>
      <c r="M892" s="309">
        <f t="shared" si="138"/>
        <v>4.0776449485502351</v>
      </c>
      <c r="N892" s="294">
        <v>0</v>
      </c>
      <c r="O892" s="294" t="str">
        <f t="shared" si="131"/>
        <v/>
      </c>
      <c r="P892" s="294"/>
    </row>
    <row r="893" spans="1:16">
      <c r="A893" s="294"/>
      <c r="B893" s="294" t="s">
        <v>586</v>
      </c>
      <c r="C893" s="294" t="s">
        <v>587</v>
      </c>
      <c r="D893" s="295" t="s">
        <v>1061</v>
      </c>
      <c r="E893" s="296">
        <v>4</v>
      </c>
      <c r="F893" s="294">
        <v>14.9</v>
      </c>
      <c r="G893" s="308">
        <f t="shared" si="136"/>
        <v>14.137327150000001</v>
      </c>
      <c r="H893" s="294">
        <v>135.5</v>
      </c>
      <c r="I893" s="297"/>
      <c r="J893" s="297"/>
      <c r="K893" s="294">
        <f t="shared" si="106"/>
        <v>2.1423999999999999</v>
      </c>
      <c r="L893" s="294">
        <f t="shared" si="107"/>
        <v>0.61758119321063421</v>
      </c>
      <c r="M893" s="309">
        <f t="shared" si="138"/>
        <v>4.086659722961592</v>
      </c>
      <c r="N893" s="294">
        <v>0</v>
      </c>
      <c r="O893" s="294" t="str">
        <f t="shared" si="131"/>
        <v/>
      </c>
      <c r="P893" s="294"/>
    </row>
    <row r="894" spans="1:16">
      <c r="A894" s="294"/>
      <c r="B894" s="294" t="s">
        <v>586</v>
      </c>
      <c r="C894" s="294" t="s">
        <v>587</v>
      </c>
      <c r="D894" s="295" t="s">
        <v>1061</v>
      </c>
      <c r="E894" s="296">
        <v>5</v>
      </c>
      <c r="F894" s="294">
        <v>19.2</v>
      </c>
      <c r="G894" s="308">
        <f t="shared" si="136"/>
        <v>19.94120328</v>
      </c>
      <c r="H894" s="294">
        <v>223.6</v>
      </c>
      <c r="I894" s="297"/>
      <c r="J894" s="297"/>
      <c r="K894" s="294">
        <f t="shared" si="106"/>
        <v>2.0392000000000001</v>
      </c>
      <c r="L894" s="294">
        <f t="shared" si="107"/>
        <v>0.67158214765081492</v>
      </c>
      <c r="M894" s="309">
        <f t="shared" si="138"/>
        <v>5.5644432044113659</v>
      </c>
      <c r="N894" s="294">
        <v>0</v>
      </c>
      <c r="O894" s="294" t="str">
        <f t="shared" si="131"/>
        <v/>
      </c>
      <c r="P894" s="294"/>
    </row>
    <row r="895" spans="1:16">
      <c r="A895" s="294"/>
      <c r="B895" s="294" t="s">
        <v>586</v>
      </c>
      <c r="C895" s="294" t="s">
        <v>587</v>
      </c>
      <c r="D895" s="295" t="s">
        <v>1061</v>
      </c>
      <c r="E895" s="296">
        <v>6</v>
      </c>
      <c r="F895" s="294">
        <v>20.6</v>
      </c>
      <c r="G895" s="308">
        <f t="shared" si="136"/>
        <v>15.99644543</v>
      </c>
      <c r="H895" s="294">
        <v>135.1</v>
      </c>
      <c r="I895" s="297"/>
      <c r="J895" s="297"/>
      <c r="K895" s="294">
        <f t="shared" si="106"/>
        <v>2.0055999999999998</v>
      </c>
      <c r="L895" s="294">
        <f t="shared" si="107"/>
        <v>0.68803058654568494</v>
      </c>
      <c r="M895" s="309">
        <f t="shared" si="138"/>
        <v>4.9241802617602826</v>
      </c>
      <c r="N895" s="294">
        <v>0</v>
      </c>
      <c r="O895" s="294" t="str">
        <f t="shared" si="131"/>
        <v/>
      </c>
      <c r="P895" s="294"/>
    </row>
    <row r="896" spans="1:16">
      <c r="A896" s="294"/>
      <c r="B896" s="294" t="s">
        <v>586</v>
      </c>
      <c r="C896" s="294" t="s">
        <v>587</v>
      </c>
      <c r="D896" s="295" t="s">
        <v>1061</v>
      </c>
      <c r="E896" s="296">
        <v>7</v>
      </c>
      <c r="F896" s="294">
        <v>24.6</v>
      </c>
      <c r="G896" s="308">
        <f t="shared" si="136"/>
        <v>17.457455799999998</v>
      </c>
      <c r="H896" s="294">
        <v>176</v>
      </c>
      <c r="I896" s="297"/>
      <c r="J896" s="297"/>
      <c r="K896" s="294">
        <f t="shared" si="106"/>
        <v>1.9096</v>
      </c>
      <c r="L896" s="294">
        <f t="shared" si="107"/>
        <v>0.73161612092537309</v>
      </c>
      <c r="M896" s="309">
        <f t="shared" si="138"/>
        <v>5.6362173038950241</v>
      </c>
      <c r="N896" s="294">
        <v>1</v>
      </c>
      <c r="O896" s="294">
        <f t="shared" si="131"/>
        <v>5.6362173038950241</v>
      </c>
      <c r="P896" s="294"/>
    </row>
    <row r="897" spans="1:16">
      <c r="A897" s="294"/>
      <c r="B897" s="294" t="s">
        <v>586</v>
      </c>
      <c r="C897" s="294" t="s">
        <v>587</v>
      </c>
      <c r="D897" s="295" t="s">
        <v>1061</v>
      </c>
      <c r="E897" s="296">
        <v>8</v>
      </c>
      <c r="F897" s="294">
        <v>27.1</v>
      </c>
      <c r="G897" s="308">
        <f t="shared" si="136"/>
        <v>18.18955141</v>
      </c>
      <c r="H897" s="294">
        <v>208.7</v>
      </c>
      <c r="I897" s="297"/>
      <c r="J897" s="297"/>
      <c r="K897" s="294">
        <f t="shared" si="106"/>
        <v>1.8495999999999999</v>
      </c>
      <c r="L897" s="294">
        <f t="shared" si="107"/>
        <v>0.7561827862483661</v>
      </c>
      <c r="M897" s="309">
        <f t="shared" si="138"/>
        <v>6.0798686309646763</v>
      </c>
      <c r="N897" s="294">
        <v>1</v>
      </c>
      <c r="O897" s="294">
        <f t="shared" si="131"/>
        <v>6.0798686309646763</v>
      </c>
      <c r="P897" s="294"/>
    </row>
    <row r="898" spans="1:16">
      <c r="A898" s="294"/>
      <c r="B898" s="294" t="s">
        <v>586</v>
      </c>
      <c r="C898" s="294" t="s">
        <v>587</v>
      </c>
      <c r="D898" s="295" t="s">
        <v>1061</v>
      </c>
      <c r="E898" s="296">
        <v>9</v>
      </c>
      <c r="F898" s="294">
        <v>23.4</v>
      </c>
      <c r="G898" s="308">
        <f t="shared" si="136"/>
        <v>13.765966989999999</v>
      </c>
      <c r="H898" s="294">
        <v>150.30000000000001</v>
      </c>
      <c r="I898" s="297"/>
      <c r="J898" s="297"/>
      <c r="K898" s="294">
        <f t="shared" si="106"/>
        <v>1.9384000000000001</v>
      </c>
      <c r="L898" s="294">
        <f t="shared" si="107"/>
        <v>0.71908608973973653</v>
      </c>
      <c r="M898" s="309">
        <f t="shared" si="138"/>
        <v>4.6983000500283509</v>
      </c>
      <c r="N898" s="294">
        <v>0</v>
      </c>
      <c r="O898" s="294" t="str">
        <f t="shared" ref="O898:O961" si="139">IF(N898*M898=0,"",N898*M898)</f>
        <v/>
      </c>
      <c r="P898" s="294"/>
    </row>
    <row r="899" spans="1:16">
      <c r="A899" s="294"/>
      <c r="B899" s="294" t="s">
        <v>586</v>
      </c>
      <c r="C899" s="294" t="s">
        <v>587</v>
      </c>
      <c r="D899" s="295" t="s">
        <v>1061</v>
      </c>
      <c r="E899" s="296">
        <v>10</v>
      </c>
      <c r="F899" s="294">
        <v>19.399999999999999</v>
      </c>
      <c r="G899" s="308">
        <f t="shared" si="136"/>
        <v>13.93748106</v>
      </c>
      <c r="H899" s="294">
        <v>220.2</v>
      </c>
      <c r="I899" s="297"/>
      <c r="J899" s="297"/>
      <c r="K899" s="294">
        <f t="shared" si="106"/>
        <v>2.0344000000000002</v>
      </c>
      <c r="L899" s="294">
        <f t="shared" si="107"/>
        <v>0.67396814722434939</v>
      </c>
      <c r="M899" s="309">
        <f t="shared" si="138"/>
        <v>4.4080539934038132</v>
      </c>
      <c r="N899" s="294">
        <v>0</v>
      </c>
      <c r="O899" s="294" t="str">
        <f t="shared" si="139"/>
        <v/>
      </c>
      <c r="P899" s="294"/>
    </row>
    <row r="900" spans="1:16">
      <c r="A900" s="294"/>
      <c r="B900" s="294" t="s">
        <v>586</v>
      </c>
      <c r="C900" s="294" t="s">
        <v>587</v>
      </c>
      <c r="D900" s="295" t="s">
        <v>1061</v>
      </c>
      <c r="E900" s="296">
        <v>11</v>
      </c>
      <c r="F900" s="294">
        <v>16</v>
      </c>
      <c r="G900" s="308">
        <f t="shared" si="136"/>
        <v>8.7251306399999997</v>
      </c>
      <c r="H900" s="294">
        <v>134.80000000000001</v>
      </c>
      <c r="I900" s="297"/>
      <c r="J900" s="297"/>
      <c r="K900" s="294">
        <f t="shared" si="106"/>
        <v>2.1160000000000001</v>
      </c>
      <c r="L900" s="294">
        <f t="shared" si="107"/>
        <v>0.63185951626122749</v>
      </c>
      <c r="M900" s="309">
        <f t="shared" si="138"/>
        <v>3.2150107266187633</v>
      </c>
      <c r="N900" s="294">
        <v>0</v>
      </c>
      <c r="O900" s="294" t="str">
        <f t="shared" si="139"/>
        <v/>
      </c>
      <c r="P900" s="294"/>
    </row>
    <row r="901" spans="1:16">
      <c r="A901" s="294"/>
      <c r="B901" s="294" t="s">
        <v>586</v>
      </c>
      <c r="C901" s="294" t="s">
        <v>587</v>
      </c>
      <c r="D901" s="295" t="s">
        <v>1061</v>
      </c>
      <c r="E901" s="296">
        <v>12</v>
      </c>
      <c r="F901" s="294">
        <v>11.5</v>
      </c>
      <c r="G901" s="308">
        <f t="shared" si="136"/>
        <v>9.3144518000000005</v>
      </c>
      <c r="H901" s="294">
        <v>176</v>
      </c>
      <c r="I901" s="297"/>
      <c r="J901" s="297"/>
      <c r="K901" s="294">
        <f t="shared" si="106"/>
        <v>2.2240000000000002</v>
      </c>
      <c r="L901" s="294">
        <f t="shared" si="107"/>
        <v>0.57176059614784436</v>
      </c>
      <c r="M901" s="309">
        <f t="shared" si="138"/>
        <v>3.0900100956732501</v>
      </c>
      <c r="N901" s="294">
        <v>0</v>
      </c>
      <c r="O901" s="294" t="str">
        <f t="shared" si="139"/>
        <v/>
      </c>
      <c r="P901" s="294"/>
    </row>
    <row r="902" spans="1:16">
      <c r="A902" s="294">
        <v>76</v>
      </c>
      <c r="B902" s="294" t="s">
        <v>586</v>
      </c>
      <c r="C902" s="294" t="s">
        <v>588</v>
      </c>
      <c r="D902" s="295" t="s">
        <v>1061</v>
      </c>
      <c r="E902" s="296">
        <v>1</v>
      </c>
      <c r="F902" s="294">
        <v>5.7</v>
      </c>
      <c r="G902" s="308">
        <f t="shared" si="136"/>
        <v>10.748486259999996</v>
      </c>
      <c r="H902" s="294">
        <v>192.2</v>
      </c>
      <c r="I902" s="306">
        <v>0.96299999999999997</v>
      </c>
      <c r="J902" s="307">
        <v>0.1</v>
      </c>
      <c r="K902" s="294">
        <f t="shared" si="106"/>
        <v>2.3632</v>
      </c>
      <c r="L902" s="294">
        <f t="shared" si="107"/>
        <v>0.48966257712415773</v>
      </c>
      <c r="M902" s="309">
        <f>$I$902*L902*(G902/K902)+$J$902</f>
        <v>2.2447171705364575</v>
      </c>
      <c r="N902" s="294">
        <v>0</v>
      </c>
      <c r="O902" s="294" t="str">
        <f t="shared" si="139"/>
        <v/>
      </c>
      <c r="P902" s="294">
        <f>AVERAGE(O902:O913)</f>
        <v>6.6240531203403661</v>
      </c>
    </row>
    <row r="903" spans="1:16">
      <c r="A903" s="294"/>
      <c r="B903" s="294" t="s">
        <v>586</v>
      </c>
      <c r="C903" s="294" t="s">
        <v>588</v>
      </c>
      <c r="D903" s="295" t="s">
        <v>1061</v>
      </c>
      <c r="E903" s="296">
        <v>2</v>
      </c>
      <c r="F903" s="294">
        <v>6.6</v>
      </c>
      <c r="G903" s="308">
        <f t="shared" si="136"/>
        <v>12.60883967</v>
      </c>
      <c r="H903" s="294">
        <v>179.9</v>
      </c>
      <c r="I903" s="297"/>
      <c r="J903" s="297"/>
      <c r="K903" s="294">
        <f t="shared" si="106"/>
        <v>2.3416000000000001</v>
      </c>
      <c r="L903" s="294">
        <f t="shared" si="107"/>
        <v>0.5025819590057089</v>
      </c>
      <c r="M903" s="309">
        <f t="shared" ref="M903:M913" si="140">$I$902*L903*(G903/K903)+$J$902</f>
        <v>2.706127115851729</v>
      </c>
      <c r="N903" s="294">
        <v>0</v>
      </c>
      <c r="O903" s="294" t="str">
        <f t="shared" si="139"/>
        <v/>
      </c>
      <c r="P903" s="294"/>
    </row>
    <row r="904" spans="1:16">
      <c r="A904" s="294"/>
      <c r="B904" s="294" t="s">
        <v>586</v>
      </c>
      <c r="C904" s="294" t="s">
        <v>588</v>
      </c>
      <c r="D904" s="295" t="s">
        <v>1061</v>
      </c>
      <c r="E904" s="296">
        <v>3</v>
      </c>
      <c r="F904" s="294">
        <v>10.5</v>
      </c>
      <c r="G904" s="308">
        <f t="shared" si="136"/>
        <v>14.65109747</v>
      </c>
      <c r="H904" s="294">
        <v>188.9</v>
      </c>
      <c r="I904" s="297"/>
      <c r="J904" s="297"/>
      <c r="K904" s="294">
        <f t="shared" si="106"/>
        <v>2.2480000000000002</v>
      </c>
      <c r="L904" s="294">
        <f t="shared" si="107"/>
        <v>0.55787898239898637</v>
      </c>
      <c r="M904" s="309">
        <f t="shared" si="140"/>
        <v>3.6013871849337455</v>
      </c>
      <c r="N904" s="294">
        <v>0</v>
      </c>
      <c r="O904" s="294" t="str">
        <f t="shared" si="139"/>
        <v/>
      </c>
      <c r="P904" s="294"/>
    </row>
    <row r="905" spans="1:16">
      <c r="A905" s="294"/>
      <c r="B905" s="294" t="s">
        <v>586</v>
      </c>
      <c r="C905" s="294" t="s">
        <v>588</v>
      </c>
      <c r="D905" s="295" t="s">
        <v>1061</v>
      </c>
      <c r="E905" s="296">
        <v>4</v>
      </c>
      <c r="F905" s="294">
        <v>15.2</v>
      </c>
      <c r="G905" s="308">
        <f t="shared" si="136"/>
        <v>13.78682854</v>
      </c>
      <c r="H905" s="294">
        <v>127.8</v>
      </c>
      <c r="I905" s="297"/>
      <c r="J905" s="297"/>
      <c r="K905" s="294">
        <f t="shared" si="106"/>
        <v>2.1352000000000002</v>
      </c>
      <c r="L905" s="294">
        <f t="shared" si="107"/>
        <v>0.62150446245737101</v>
      </c>
      <c r="M905" s="309">
        <f t="shared" si="140"/>
        <v>3.9645270554032823</v>
      </c>
      <c r="N905" s="294">
        <v>0</v>
      </c>
      <c r="O905" s="294" t="str">
        <f t="shared" si="139"/>
        <v/>
      </c>
      <c r="P905" s="294"/>
    </row>
    <row r="906" spans="1:16">
      <c r="A906" s="294"/>
      <c r="B906" s="294" t="s">
        <v>586</v>
      </c>
      <c r="C906" s="294" t="s">
        <v>588</v>
      </c>
      <c r="D906" s="295" t="s">
        <v>1061</v>
      </c>
      <c r="E906" s="296">
        <v>5</v>
      </c>
      <c r="F906" s="294">
        <v>20.399999999999999</v>
      </c>
      <c r="G906" s="308">
        <f t="shared" si="136"/>
        <v>20.555713830000002</v>
      </c>
      <c r="H906" s="294">
        <v>237.1</v>
      </c>
      <c r="I906" s="297"/>
      <c r="J906" s="297"/>
      <c r="K906" s="294">
        <f t="shared" si="106"/>
        <v>2.0104000000000002</v>
      </c>
      <c r="L906" s="294">
        <f t="shared" si="107"/>
        <v>0.68571741889485172</v>
      </c>
      <c r="M906" s="309">
        <f t="shared" si="140"/>
        <v>6.8518308908177472</v>
      </c>
      <c r="N906" s="294">
        <v>0</v>
      </c>
      <c r="O906" s="294" t="str">
        <f t="shared" si="139"/>
        <v/>
      </c>
      <c r="P906" s="294"/>
    </row>
    <row r="907" spans="1:16">
      <c r="A907" s="294"/>
      <c r="B907" s="294" t="s">
        <v>586</v>
      </c>
      <c r="C907" s="294" t="s">
        <v>588</v>
      </c>
      <c r="D907" s="295" t="s">
        <v>1061</v>
      </c>
      <c r="E907" s="296">
        <v>6</v>
      </c>
      <c r="F907" s="294">
        <v>21.6</v>
      </c>
      <c r="G907" s="308">
        <f t="shared" si="136"/>
        <v>15.43200611</v>
      </c>
      <c r="H907" s="294">
        <v>122.7</v>
      </c>
      <c r="I907" s="297"/>
      <c r="J907" s="297"/>
      <c r="K907" s="294">
        <f t="shared" si="106"/>
        <v>1.9815999999999998</v>
      </c>
      <c r="L907" s="294">
        <f t="shared" si="107"/>
        <v>0.69940915925890268</v>
      </c>
      <c r="M907" s="309">
        <f t="shared" si="140"/>
        <v>5.3452234666772487</v>
      </c>
      <c r="N907" s="294">
        <v>0</v>
      </c>
      <c r="O907" s="294" t="str">
        <f t="shared" si="139"/>
        <v/>
      </c>
      <c r="P907" s="294"/>
    </row>
    <row r="908" spans="1:16">
      <c r="A908" s="294"/>
      <c r="B908" s="294" t="s">
        <v>586</v>
      </c>
      <c r="C908" s="294" t="s">
        <v>588</v>
      </c>
      <c r="D908" s="295" t="s">
        <v>1061</v>
      </c>
      <c r="E908" s="296">
        <v>7</v>
      </c>
      <c r="F908" s="294">
        <v>26</v>
      </c>
      <c r="G908" s="308">
        <f t="shared" si="136"/>
        <v>16.5015505</v>
      </c>
      <c r="H908" s="294">
        <v>155</v>
      </c>
      <c r="I908" s="297"/>
      <c r="J908" s="297"/>
      <c r="K908" s="294">
        <f t="shared" si="106"/>
        <v>1.8759999999999999</v>
      </c>
      <c r="L908" s="294">
        <f t="shared" si="107"/>
        <v>0.74563054537472673</v>
      </c>
      <c r="M908" s="309">
        <f t="shared" si="140"/>
        <v>6.4159967351739775</v>
      </c>
      <c r="N908" s="294">
        <v>1</v>
      </c>
      <c r="O908" s="294">
        <f t="shared" si="139"/>
        <v>6.4159967351739775</v>
      </c>
      <c r="P908" s="294"/>
    </row>
    <row r="909" spans="1:16">
      <c r="A909" s="294"/>
      <c r="B909" s="294" t="s">
        <v>586</v>
      </c>
      <c r="C909" s="294" t="s">
        <v>588</v>
      </c>
      <c r="D909" s="295" t="s">
        <v>1061</v>
      </c>
      <c r="E909" s="296">
        <v>8</v>
      </c>
      <c r="F909" s="294">
        <v>27.4</v>
      </c>
      <c r="G909" s="308">
        <f t="shared" si="136"/>
        <v>16.969634170000003</v>
      </c>
      <c r="H909" s="294">
        <v>181.9</v>
      </c>
      <c r="I909" s="297"/>
      <c r="J909" s="297"/>
      <c r="K909" s="294">
        <f t="shared" si="106"/>
        <v>1.8424</v>
      </c>
      <c r="L909" s="294">
        <f t="shared" si="107"/>
        <v>0.75899048170392402</v>
      </c>
      <c r="M909" s="309">
        <f t="shared" si="140"/>
        <v>6.8321095055067547</v>
      </c>
      <c r="N909" s="294">
        <v>1</v>
      </c>
      <c r="O909" s="294">
        <f t="shared" si="139"/>
        <v>6.8321095055067547</v>
      </c>
      <c r="P909" s="294"/>
    </row>
    <row r="910" spans="1:16">
      <c r="A910" s="294"/>
      <c r="B910" s="294" t="s">
        <v>586</v>
      </c>
      <c r="C910" s="294" t="s">
        <v>588</v>
      </c>
      <c r="D910" s="295" t="s">
        <v>1061</v>
      </c>
      <c r="E910" s="296">
        <v>9</v>
      </c>
      <c r="F910" s="294">
        <v>22.9</v>
      </c>
      <c r="G910" s="308">
        <f t="shared" ref="G910:G937" si="141">$T$11+$T$12*H910+INDEX($T$13:$T$24,MATCH(E910,$S$13:$S$24,0),1)</f>
        <v>12.769094320000001</v>
      </c>
      <c r="H910" s="294">
        <v>128.4</v>
      </c>
      <c r="I910" s="297"/>
      <c r="J910" s="297"/>
      <c r="K910" s="294">
        <f t="shared" si="106"/>
        <v>1.9504000000000001</v>
      </c>
      <c r="L910" s="294">
        <f t="shared" si="107"/>
        <v>0.71372556847664814</v>
      </c>
      <c r="M910" s="309">
        <f t="shared" si="140"/>
        <v>4.5998076423720269</v>
      </c>
      <c r="N910" s="294">
        <v>0</v>
      </c>
      <c r="O910" s="294" t="str">
        <f t="shared" si="139"/>
        <v/>
      </c>
      <c r="P910" s="294"/>
    </row>
    <row r="911" spans="1:16">
      <c r="A911" s="294"/>
      <c r="B911" s="294" t="s">
        <v>586</v>
      </c>
      <c r="C911" s="294" t="s">
        <v>588</v>
      </c>
      <c r="D911" s="295" t="s">
        <v>1061</v>
      </c>
      <c r="E911" s="296">
        <v>10</v>
      </c>
      <c r="F911" s="294">
        <v>18.399999999999999</v>
      </c>
      <c r="G911" s="308">
        <f t="shared" si="141"/>
        <v>13.05440664</v>
      </c>
      <c r="H911" s="294">
        <v>200.8</v>
      </c>
      <c r="I911" s="297"/>
      <c r="J911" s="297"/>
      <c r="K911" s="294">
        <f t="shared" si="106"/>
        <v>2.0583999999999998</v>
      </c>
      <c r="L911" s="294">
        <f t="shared" si="107"/>
        <v>0.66192047983258717</v>
      </c>
      <c r="M911" s="309">
        <f t="shared" si="140"/>
        <v>4.1425878741336026</v>
      </c>
      <c r="N911" s="294">
        <v>0</v>
      </c>
      <c r="O911" s="294" t="str">
        <f t="shared" si="139"/>
        <v/>
      </c>
      <c r="P911" s="294"/>
    </row>
    <row r="912" spans="1:16">
      <c r="A912" s="294"/>
      <c r="B912" s="294" t="s">
        <v>586</v>
      </c>
      <c r="C912" s="294" t="s">
        <v>588</v>
      </c>
      <c r="D912" s="295" t="s">
        <v>1061</v>
      </c>
      <c r="E912" s="296">
        <v>11</v>
      </c>
      <c r="F912" s="294">
        <v>14.7</v>
      </c>
      <c r="G912" s="308">
        <f t="shared" si="141"/>
        <v>8.5430534400000013</v>
      </c>
      <c r="H912" s="294">
        <v>130.80000000000001</v>
      </c>
      <c r="I912" s="297"/>
      <c r="J912" s="297"/>
      <c r="K912" s="294">
        <f t="shared" si="106"/>
        <v>2.1471999999999998</v>
      </c>
      <c r="L912" s="294">
        <f t="shared" si="107"/>
        <v>0.61495389297523528</v>
      </c>
      <c r="M912" s="309">
        <f t="shared" si="140"/>
        <v>2.4561854340084799</v>
      </c>
      <c r="N912" s="294">
        <v>0</v>
      </c>
      <c r="O912" s="294" t="str">
        <f t="shared" si="139"/>
        <v/>
      </c>
      <c r="P912" s="294"/>
    </row>
    <row r="913" spans="1:16">
      <c r="A913" s="294"/>
      <c r="B913" s="294" t="s">
        <v>586</v>
      </c>
      <c r="C913" s="294" t="s">
        <v>588</v>
      </c>
      <c r="D913" s="295" t="s">
        <v>1061</v>
      </c>
      <c r="E913" s="296">
        <v>12</v>
      </c>
      <c r="F913" s="294">
        <v>10.3</v>
      </c>
      <c r="G913" s="308">
        <f t="shared" si="141"/>
        <v>8.9320896800000007</v>
      </c>
      <c r="H913" s="294">
        <v>167.6</v>
      </c>
      <c r="I913" s="297"/>
      <c r="J913" s="297"/>
      <c r="K913" s="294">
        <f t="shared" si="106"/>
        <v>2.2528000000000001</v>
      </c>
      <c r="L913" s="294">
        <f t="shared" si="107"/>
        <v>0.55508457099596153</v>
      </c>
      <c r="M913" s="309">
        <f t="shared" si="140"/>
        <v>2.2194143984818031</v>
      </c>
      <c r="N913" s="294">
        <v>0</v>
      </c>
      <c r="O913" s="294" t="str">
        <f t="shared" si="139"/>
        <v/>
      </c>
      <c r="P913" s="294"/>
    </row>
    <row r="914" spans="1:16">
      <c r="A914" s="294">
        <v>77</v>
      </c>
      <c r="B914" s="294" t="s">
        <v>586</v>
      </c>
      <c r="C914" s="294" t="s">
        <v>589</v>
      </c>
      <c r="D914" s="295" t="s">
        <v>1061</v>
      </c>
      <c r="E914" s="296">
        <v>1</v>
      </c>
      <c r="F914" s="294">
        <v>8.4</v>
      </c>
      <c r="G914" s="308">
        <f t="shared" si="141"/>
        <v>10.830420999999998</v>
      </c>
      <c r="H914" s="294">
        <v>194</v>
      </c>
      <c r="I914" s="306">
        <v>0.37</v>
      </c>
      <c r="J914" s="307">
        <v>2.96</v>
      </c>
      <c r="K914" s="294">
        <f t="shared" ref="K914:K1168" si="142">2.5-0.024*F914</f>
        <v>2.2984</v>
      </c>
      <c r="L914" s="294">
        <f t="shared" ref="L914:L1168" si="143">1/(1.05+1.4*EXP(-0.0604*F914))</f>
        <v>0.52828541148097485</v>
      </c>
      <c r="M914" s="309">
        <f>$I$914*L914*(G914/K914)+$J$914</f>
        <v>3.881064550715263</v>
      </c>
      <c r="N914" s="294">
        <v>0</v>
      </c>
      <c r="O914" s="294" t="str">
        <f t="shared" si="139"/>
        <v/>
      </c>
      <c r="P914" s="294">
        <f>AVERAGE(O914:O925)</f>
        <v>5.5719538641053061</v>
      </c>
    </row>
    <row r="915" spans="1:16">
      <c r="A915" s="294"/>
      <c r="B915" s="294" t="s">
        <v>586</v>
      </c>
      <c r="C915" s="294" t="s">
        <v>589</v>
      </c>
      <c r="D915" s="295" t="s">
        <v>1061</v>
      </c>
      <c r="E915" s="296">
        <v>2</v>
      </c>
      <c r="F915" s="294">
        <v>8.1</v>
      </c>
      <c r="G915" s="308">
        <f t="shared" si="141"/>
        <v>12.80457266</v>
      </c>
      <c r="H915" s="294">
        <v>184.2</v>
      </c>
      <c r="I915" s="297"/>
      <c r="J915" s="297"/>
      <c r="K915" s="294">
        <f t="shared" si="142"/>
        <v>2.3056000000000001</v>
      </c>
      <c r="L915" s="294">
        <f t="shared" si="143"/>
        <v>0.52401864779616036</v>
      </c>
      <c r="M915" s="309">
        <f t="shared" ref="M915:M925" si="144">$I$914*L915*(G915/K915)+$J$914</f>
        <v>4.0367864741643507</v>
      </c>
      <c r="N915" s="294">
        <v>0</v>
      </c>
      <c r="O915" s="294" t="str">
        <f t="shared" si="139"/>
        <v/>
      </c>
      <c r="P915" s="294"/>
    </row>
    <row r="916" spans="1:16">
      <c r="A916" s="294"/>
      <c r="B916" s="294" t="s">
        <v>586</v>
      </c>
      <c r="C916" s="294" t="s">
        <v>589</v>
      </c>
      <c r="D916" s="295" t="s">
        <v>1061</v>
      </c>
      <c r="E916" s="296">
        <v>3</v>
      </c>
      <c r="F916" s="294">
        <v>11.3</v>
      </c>
      <c r="G916" s="308">
        <f t="shared" si="141"/>
        <v>15.802735759999997</v>
      </c>
      <c r="H916" s="294">
        <v>214.2</v>
      </c>
      <c r="I916" s="297"/>
      <c r="J916" s="297"/>
      <c r="K916" s="294">
        <f t="shared" si="142"/>
        <v>2.2288000000000001</v>
      </c>
      <c r="L916" s="294">
        <f t="shared" si="143"/>
        <v>0.56899694033307113</v>
      </c>
      <c r="M916" s="309">
        <f t="shared" si="144"/>
        <v>4.4527010362719146</v>
      </c>
      <c r="N916" s="294">
        <v>0</v>
      </c>
      <c r="O916" s="294" t="str">
        <f t="shared" si="139"/>
        <v/>
      </c>
      <c r="P916" s="294"/>
    </row>
    <row r="917" spans="1:16">
      <c r="A917" s="294"/>
      <c r="B917" s="294" t="s">
        <v>586</v>
      </c>
      <c r="C917" s="294" t="s">
        <v>589</v>
      </c>
      <c r="D917" s="295" t="s">
        <v>1061</v>
      </c>
      <c r="E917" s="296">
        <v>4</v>
      </c>
      <c r="F917" s="294">
        <v>14.6</v>
      </c>
      <c r="G917" s="308">
        <f t="shared" si="141"/>
        <v>14.323956280000001</v>
      </c>
      <c r="H917" s="294">
        <v>139.6</v>
      </c>
      <c r="I917" s="297"/>
      <c r="J917" s="297"/>
      <c r="K917" s="294">
        <f t="shared" si="142"/>
        <v>2.1496</v>
      </c>
      <c r="L917" s="294">
        <f t="shared" si="143"/>
        <v>0.61363675963733433</v>
      </c>
      <c r="M917" s="309">
        <f t="shared" si="144"/>
        <v>4.47292857426174</v>
      </c>
      <c r="N917" s="294">
        <v>0</v>
      </c>
      <c r="O917" s="294" t="str">
        <f t="shared" si="139"/>
        <v/>
      </c>
      <c r="P917" s="294"/>
    </row>
    <row r="918" spans="1:16">
      <c r="A918" s="294"/>
      <c r="B918" s="294" t="s">
        <v>586</v>
      </c>
      <c r="C918" s="294" t="s">
        <v>589</v>
      </c>
      <c r="D918" s="295" t="s">
        <v>1061</v>
      </c>
      <c r="E918" s="296">
        <v>5</v>
      </c>
      <c r="F918" s="294">
        <v>18.899999999999999</v>
      </c>
      <c r="G918" s="308">
        <f t="shared" si="141"/>
        <v>20.218871010000001</v>
      </c>
      <c r="H918" s="294">
        <v>229.7</v>
      </c>
      <c r="I918" s="297"/>
      <c r="J918" s="297"/>
      <c r="K918" s="294">
        <f t="shared" si="142"/>
        <v>2.0464000000000002</v>
      </c>
      <c r="L918" s="294">
        <f t="shared" si="143"/>
        <v>0.66798094574788913</v>
      </c>
      <c r="M918" s="309">
        <f t="shared" si="144"/>
        <v>5.4019241664920443</v>
      </c>
      <c r="N918" s="294">
        <v>0</v>
      </c>
      <c r="O918" s="294" t="str">
        <f t="shared" si="139"/>
        <v/>
      </c>
      <c r="P918" s="294"/>
    </row>
    <row r="919" spans="1:16">
      <c r="A919" s="294"/>
      <c r="B919" s="294" t="s">
        <v>586</v>
      </c>
      <c r="C919" s="294" t="s">
        <v>589</v>
      </c>
      <c r="D919" s="295" t="s">
        <v>1061</v>
      </c>
      <c r="E919" s="296">
        <v>6</v>
      </c>
      <c r="F919" s="294">
        <v>20.2</v>
      </c>
      <c r="G919" s="308">
        <f t="shared" si="141"/>
        <v>15.54580436</v>
      </c>
      <c r="H919" s="294">
        <v>125.2</v>
      </c>
      <c r="I919" s="297"/>
      <c r="J919" s="297"/>
      <c r="K919" s="294">
        <f t="shared" si="142"/>
        <v>2.0152000000000001</v>
      </c>
      <c r="L919" s="294">
        <f t="shared" si="143"/>
        <v>0.68339192349867006</v>
      </c>
      <c r="M919" s="309">
        <f t="shared" si="144"/>
        <v>4.9105927665980209</v>
      </c>
      <c r="N919" s="294">
        <v>0</v>
      </c>
      <c r="O919" s="294" t="str">
        <f t="shared" si="139"/>
        <v/>
      </c>
      <c r="P919" s="294"/>
    </row>
    <row r="920" spans="1:16">
      <c r="A920" s="294"/>
      <c r="B920" s="294" t="s">
        <v>586</v>
      </c>
      <c r="C920" s="294" t="s">
        <v>589</v>
      </c>
      <c r="D920" s="295" t="s">
        <v>1061</v>
      </c>
      <c r="E920" s="296">
        <v>7</v>
      </c>
      <c r="F920" s="294">
        <v>24.3</v>
      </c>
      <c r="G920" s="308">
        <f t="shared" si="141"/>
        <v>16.533414010000001</v>
      </c>
      <c r="H920" s="294">
        <v>155.69999999999999</v>
      </c>
      <c r="I920" s="297"/>
      <c r="J920" s="297"/>
      <c r="K920" s="294">
        <f t="shared" si="142"/>
        <v>1.9167999999999998</v>
      </c>
      <c r="L920" s="294">
        <f t="shared" si="143"/>
        <v>0.7285282125422311</v>
      </c>
      <c r="M920" s="309">
        <f t="shared" si="144"/>
        <v>5.2850582563087514</v>
      </c>
      <c r="N920" s="294">
        <v>1</v>
      </c>
      <c r="O920" s="294">
        <f t="shared" si="139"/>
        <v>5.2850582563087514</v>
      </c>
      <c r="P920" s="294"/>
    </row>
    <row r="921" spans="1:16">
      <c r="A921" s="294"/>
      <c r="B921" s="294" t="s">
        <v>586</v>
      </c>
      <c r="C921" s="294" t="s">
        <v>589</v>
      </c>
      <c r="D921" s="295" t="s">
        <v>1061</v>
      </c>
      <c r="E921" s="296">
        <v>8</v>
      </c>
      <c r="F921" s="294">
        <v>26.4</v>
      </c>
      <c r="G921" s="308">
        <f t="shared" si="141"/>
        <v>19.509611109999998</v>
      </c>
      <c r="H921" s="294">
        <v>237.7</v>
      </c>
      <c r="I921" s="297"/>
      <c r="J921" s="297"/>
      <c r="K921" s="294">
        <f t="shared" si="142"/>
        <v>1.8664000000000001</v>
      </c>
      <c r="L921" s="294">
        <f t="shared" si="143"/>
        <v>0.74951452498067139</v>
      </c>
      <c r="M921" s="309">
        <f t="shared" si="144"/>
        <v>5.8588494719018609</v>
      </c>
      <c r="N921" s="294">
        <v>1</v>
      </c>
      <c r="O921" s="294">
        <f t="shared" si="139"/>
        <v>5.8588494719018609</v>
      </c>
      <c r="P921" s="294"/>
    </row>
    <row r="922" spans="1:16">
      <c r="A922" s="294"/>
      <c r="B922" s="294" t="s">
        <v>586</v>
      </c>
      <c r="C922" s="294" t="s">
        <v>589</v>
      </c>
      <c r="D922" s="295" t="s">
        <v>1061</v>
      </c>
      <c r="E922" s="296">
        <v>9</v>
      </c>
      <c r="F922" s="294">
        <v>22.9</v>
      </c>
      <c r="G922" s="308">
        <f t="shared" si="141"/>
        <v>14.089154019999999</v>
      </c>
      <c r="H922" s="294">
        <v>157.4</v>
      </c>
      <c r="I922" s="297"/>
      <c r="J922" s="297"/>
      <c r="K922" s="294">
        <f t="shared" si="142"/>
        <v>1.9504000000000001</v>
      </c>
      <c r="L922" s="294">
        <f t="shared" si="143"/>
        <v>0.71372556847664814</v>
      </c>
      <c r="M922" s="309">
        <f t="shared" si="144"/>
        <v>4.8676302815029908</v>
      </c>
      <c r="N922" s="294">
        <v>0</v>
      </c>
      <c r="O922" s="294" t="str">
        <f t="shared" si="139"/>
        <v/>
      </c>
      <c r="P922" s="294"/>
    </row>
    <row r="923" spans="1:16">
      <c r="A923" s="294"/>
      <c r="B923" s="294" t="s">
        <v>586</v>
      </c>
      <c r="C923" s="294" t="s">
        <v>589</v>
      </c>
      <c r="D923" s="295" t="s">
        <v>1061</v>
      </c>
      <c r="E923" s="296">
        <v>10</v>
      </c>
      <c r="F923" s="294">
        <v>19.3</v>
      </c>
      <c r="G923" s="308">
        <f t="shared" si="141"/>
        <v>14.033071589999999</v>
      </c>
      <c r="H923" s="294">
        <v>222.3</v>
      </c>
      <c r="I923" s="297"/>
      <c r="J923" s="297"/>
      <c r="K923" s="294">
        <f t="shared" si="142"/>
        <v>2.0367999999999999</v>
      </c>
      <c r="L923" s="294">
        <f t="shared" si="143"/>
        <v>0.67277663480485017</v>
      </c>
      <c r="M923" s="309">
        <f t="shared" si="144"/>
        <v>4.6750507618369141</v>
      </c>
      <c r="N923" s="294">
        <v>0</v>
      </c>
      <c r="O923" s="294" t="str">
        <f t="shared" si="139"/>
        <v/>
      </c>
      <c r="P923" s="294"/>
    </row>
    <row r="924" spans="1:16">
      <c r="A924" s="294"/>
      <c r="B924" s="294" t="s">
        <v>586</v>
      </c>
      <c r="C924" s="294" t="s">
        <v>589</v>
      </c>
      <c r="D924" s="295" t="s">
        <v>1061</v>
      </c>
      <c r="E924" s="296">
        <v>11</v>
      </c>
      <c r="F924" s="294">
        <v>16</v>
      </c>
      <c r="G924" s="308">
        <f t="shared" si="141"/>
        <v>9.1939794299999988</v>
      </c>
      <c r="H924" s="294">
        <v>145.1</v>
      </c>
      <c r="I924" s="297"/>
      <c r="J924" s="297"/>
      <c r="K924" s="294">
        <f t="shared" si="142"/>
        <v>2.1160000000000001</v>
      </c>
      <c r="L924" s="294">
        <f t="shared" si="143"/>
        <v>0.63185951626122749</v>
      </c>
      <c r="M924" s="309">
        <f t="shared" si="144"/>
        <v>3.9758044689071483</v>
      </c>
      <c r="N924" s="294">
        <v>0</v>
      </c>
      <c r="O924" s="294" t="str">
        <f t="shared" si="139"/>
        <v/>
      </c>
      <c r="P924" s="294"/>
    </row>
    <row r="925" spans="1:16">
      <c r="A925" s="294"/>
      <c r="B925" s="294" t="s">
        <v>586</v>
      </c>
      <c r="C925" s="294" t="s">
        <v>589</v>
      </c>
      <c r="D925" s="295" t="s">
        <v>1061</v>
      </c>
      <c r="E925" s="296">
        <v>12</v>
      </c>
      <c r="F925" s="294">
        <v>12.3</v>
      </c>
      <c r="G925" s="308">
        <f t="shared" si="141"/>
        <v>8.9002261699999998</v>
      </c>
      <c r="H925" s="294">
        <v>166.9</v>
      </c>
      <c r="I925" s="297"/>
      <c r="J925" s="297"/>
      <c r="K925" s="294">
        <f t="shared" si="142"/>
        <v>2.2048000000000001</v>
      </c>
      <c r="L925" s="294">
        <f t="shared" si="143"/>
        <v>0.58274654668128933</v>
      </c>
      <c r="M925" s="309">
        <f t="shared" si="144"/>
        <v>3.8303887627641857</v>
      </c>
      <c r="N925" s="294">
        <v>0</v>
      </c>
      <c r="O925" s="294" t="str">
        <f t="shared" si="139"/>
        <v/>
      </c>
      <c r="P925" s="294"/>
    </row>
    <row r="926" spans="1:16">
      <c r="A926" s="294">
        <v>78</v>
      </c>
      <c r="B926" s="294" t="s">
        <v>586</v>
      </c>
      <c r="C926" s="294" t="s">
        <v>345</v>
      </c>
      <c r="D926" s="295" t="s">
        <v>1061</v>
      </c>
      <c r="E926" s="296">
        <v>1</v>
      </c>
      <c r="F926" s="294">
        <v>7</v>
      </c>
      <c r="G926" s="308">
        <f t="shared" si="141"/>
        <v>9.0369605799999988</v>
      </c>
      <c r="H926" s="294">
        <v>154.6</v>
      </c>
      <c r="I926" s="306">
        <v>0.75700000000000001</v>
      </c>
      <c r="J926" s="307">
        <v>1.2</v>
      </c>
      <c r="K926" s="294">
        <f t="shared" si="142"/>
        <v>2.3319999999999999</v>
      </c>
      <c r="L926" s="294">
        <f t="shared" si="143"/>
        <v>0.50831255550801102</v>
      </c>
      <c r="M926" s="309">
        <f>$I$926*L926*(G926/K926)+$J$926</f>
        <v>2.6911473407027584</v>
      </c>
      <c r="N926" s="294">
        <v>0</v>
      </c>
      <c r="O926" s="294" t="str">
        <f t="shared" si="139"/>
        <v/>
      </c>
      <c r="P926" s="294">
        <f>AVERAGE(O926:O937)</f>
        <v>6.3944552776808061</v>
      </c>
    </row>
    <row r="927" spans="1:16">
      <c r="A927" s="294"/>
      <c r="B927" s="294" t="s">
        <v>586</v>
      </c>
      <c r="C927" s="294" t="s">
        <v>345</v>
      </c>
      <c r="D927" s="295" t="s">
        <v>1061</v>
      </c>
      <c r="E927" s="296">
        <v>2</v>
      </c>
      <c r="F927" s="294">
        <v>7</v>
      </c>
      <c r="G927" s="308">
        <f t="shared" si="141"/>
        <v>11.04752768</v>
      </c>
      <c r="H927" s="294">
        <v>145.6</v>
      </c>
      <c r="I927" s="297"/>
      <c r="J927" s="297"/>
      <c r="K927" s="294">
        <f t="shared" si="142"/>
        <v>2.3319999999999999</v>
      </c>
      <c r="L927" s="294">
        <f t="shared" si="143"/>
        <v>0.50831255550801102</v>
      </c>
      <c r="M927" s="309">
        <f t="shared" ref="M927:M937" si="145">$I$926*L927*(G927/K927)+$J$926</f>
        <v>3.0229017793692883</v>
      </c>
      <c r="N927" s="294">
        <v>0</v>
      </c>
      <c r="O927" s="294" t="str">
        <f t="shared" si="139"/>
        <v/>
      </c>
      <c r="P927" s="294"/>
    </row>
    <row r="928" spans="1:16">
      <c r="A928" s="294"/>
      <c r="B928" s="294" t="s">
        <v>586</v>
      </c>
      <c r="C928" s="294" t="s">
        <v>345</v>
      </c>
      <c r="D928" s="295" t="s">
        <v>1061</v>
      </c>
      <c r="E928" s="296">
        <v>3</v>
      </c>
      <c r="F928" s="294">
        <v>10.4</v>
      </c>
      <c r="G928" s="308">
        <f t="shared" si="141"/>
        <v>14.578266589999998</v>
      </c>
      <c r="H928" s="294">
        <v>187.3</v>
      </c>
      <c r="I928" s="297"/>
      <c r="J928" s="297"/>
      <c r="K928" s="294">
        <f t="shared" si="142"/>
        <v>2.2504</v>
      </c>
      <c r="L928" s="294">
        <f t="shared" si="143"/>
        <v>0.55648248816913681</v>
      </c>
      <c r="M928" s="309">
        <f t="shared" si="145"/>
        <v>3.9289372553117321</v>
      </c>
      <c r="N928" s="294">
        <v>0</v>
      </c>
      <c r="O928" s="294" t="str">
        <f t="shared" si="139"/>
        <v/>
      </c>
      <c r="P928" s="294"/>
    </row>
    <row r="929" spans="1:16">
      <c r="A929" s="294"/>
      <c r="B929" s="294" t="s">
        <v>586</v>
      </c>
      <c r="C929" s="294" t="s">
        <v>345</v>
      </c>
      <c r="D929" s="295" t="s">
        <v>1061</v>
      </c>
      <c r="E929" s="296">
        <v>4</v>
      </c>
      <c r="F929" s="294">
        <v>14.7</v>
      </c>
      <c r="G929" s="308">
        <f t="shared" si="141"/>
        <v>14.1600868</v>
      </c>
      <c r="H929" s="294">
        <v>136</v>
      </c>
      <c r="I929" s="297"/>
      <c r="J929" s="297"/>
      <c r="K929" s="294">
        <f t="shared" si="142"/>
        <v>2.1471999999999998</v>
      </c>
      <c r="L929" s="294">
        <f t="shared" si="143"/>
        <v>0.61495389297523528</v>
      </c>
      <c r="M929" s="309">
        <f t="shared" si="145"/>
        <v>4.2699538843205671</v>
      </c>
      <c r="N929" s="294">
        <v>0</v>
      </c>
      <c r="O929" s="294" t="str">
        <f t="shared" si="139"/>
        <v/>
      </c>
      <c r="P929" s="294"/>
    </row>
    <row r="930" spans="1:16">
      <c r="A930" s="294"/>
      <c r="B930" s="294" t="s">
        <v>586</v>
      </c>
      <c r="C930" s="294" t="s">
        <v>345</v>
      </c>
      <c r="D930" s="295" t="s">
        <v>1061</v>
      </c>
      <c r="E930" s="296">
        <v>5</v>
      </c>
      <c r="F930" s="294">
        <v>20</v>
      </c>
      <c r="G930" s="308">
        <f t="shared" si="141"/>
        <v>19.859268540000002</v>
      </c>
      <c r="H930" s="294">
        <v>221.8</v>
      </c>
      <c r="I930" s="297"/>
      <c r="J930" s="297"/>
      <c r="K930" s="294">
        <f t="shared" si="142"/>
        <v>2.02</v>
      </c>
      <c r="L930" s="294">
        <f t="shared" si="143"/>
        <v>0.68105417257260759</v>
      </c>
      <c r="M930" s="309">
        <f t="shared" si="145"/>
        <v>6.2686163076628896</v>
      </c>
      <c r="N930" s="294">
        <v>0</v>
      </c>
      <c r="O930" s="294" t="str">
        <f t="shared" si="139"/>
        <v/>
      </c>
      <c r="P930" s="294"/>
    </row>
    <row r="931" spans="1:16">
      <c r="A931" s="294"/>
      <c r="B931" s="294" t="s">
        <v>586</v>
      </c>
      <c r="C931" s="294" t="s">
        <v>345</v>
      </c>
      <c r="D931" s="295" t="s">
        <v>1061</v>
      </c>
      <c r="E931" s="296">
        <v>6</v>
      </c>
      <c r="F931" s="294">
        <v>20.8</v>
      </c>
      <c r="G931" s="308">
        <f t="shared" si="141"/>
        <v>15.67781033</v>
      </c>
      <c r="H931" s="294">
        <v>128.1</v>
      </c>
      <c r="I931" s="297"/>
      <c r="J931" s="297"/>
      <c r="K931" s="294">
        <f t="shared" si="142"/>
        <v>2.0007999999999999</v>
      </c>
      <c r="L931" s="294">
        <f t="shared" si="143"/>
        <v>0.69033135678862079</v>
      </c>
      <c r="M931" s="309">
        <f t="shared" si="145"/>
        <v>5.2948236935094721</v>
      </c>
      <c r="N931" s="294">
        <v>0</v>
      </c>
      <c r="O931" s="294" t="str">
        <f t="shared" si="139"/>
        <v/>
      </c>
      <c r="P931" s="294"/>
    </row>
    <row r="932" spans="1:16">
      <c r="A932" s="294"/>
      <c r="B932" s="294" t="s">
        <v>586</v>
      </c>
      <c r="C932" s="294" t="s">
        <v>345</v>
      </c>
      <c r="D932" s="295" t="s">
        <v>1061</v>
      </c>
      <c r="E932" s="296">
        <v>7</v>
      </c>
      <c r="F932" s="294">
        <v>25.3</v>
      </c>
      <c r="G932" s="308">
        <f t="shared" si="141"/>
        <v>17.949064239999998</v>
      </c>
      <c r="H932" s="294">
        <v>186.8</v>
      </c>
      <c r="I932" s="297"/>
      <c r="J932" s="297"/>
      <c r="K932" s="294">
        <f t="shared" si="142"/>
        <v>1.8927999999999998</v>
      </c>
      <c r="L932" s="294">
        <f t="shared" si="143"/>
        <v>0.7387049835222731</v>
      </c>
      <c r="M932" s="309">
        <f t="shared" si="145"/>
        <v>6.5027846815102555</v>
      </c>
      <c r="N932" s="294">
        <v>1</v>
      </c>
      <c r="O932" s="294">
        <f t="shared" si="139"/>
        <v>6.5027846815102555</v>
      </c>
      <c r="P932" s="294"/>
    </row>
    <row r="933" spans="1:16">
      <c r="A933" s="294"/>
      <c r="B933" s="294" t="s">
        <v>586</v>
      </c>
      <c r="C933" s="294" t="s">
        <v>345</v>
      </c>
      <c r="D933" s="295" t="s">
        <v>1061</v>
      </c>
      <c r="E933" s="296">
        <v>8</v>
      </c>
      <c r="F933" s="294">
        <v>26.3</v>
      </c>
      <c r="G933" s="308">
        <f t="shared" si="141"/>
        <v>16.773901179999999</v>
      </c>
      <c r="H933" s="294">
        <v>177.6</v>
      </c>
      <c r="I933" s="297"/>
      <c r="J933" s="297"/>
      <c r="K933" s="294">
        <f t="shared" si="142"/>
        <v>1.8688</v>
      </c>
      <c r="L933" s="294">
        <f t="shared" si="143"/>
        <v>0.74854854390536441</v>
      </c>
      <c r="M933" s="309">
        <f t="shared" si="145"/>
        <v>6.2861258738513568</v>
      </c>
      <c r="N933" s="294">
        <v>1</v>
      </c>
      <c r="O933" s="294">
        <f t="shared" si="139"/>
        <v>6.2861258738513568</v>
      </c>
      <c r="P933" s="294"/>
    </row>
    <row r="934" spans="1:16">
      <c r="A934" s="294"/>
      <c r="B934" s="294" t="s">
        <v>586</v>
      </c>
      <c r="C934" s="294" t="s">
        <v>345</v>
      </c>
      <c r="D934" s="295" t="s">
        <v>1061</v>
      </c>
      <c r="E934" s="296">
        <v>9</v>
      </c>
      <c r="F934" s="294">
        <v>22.3</v>
      </c>
      <c r="G934" s="308">
        <f t="shared" si="141"/>
        <v>12.509634309999999</v>
      </c>
      <c r="H934" s="294">
        <v>122.7</v>
      </c>
      <c r="I934" s="297"/>
      <c r="J934" s="297"/>
      <c r="K934" s="294">
        <f t="shared" si="142"/>
        <v>1.9647999999999999</v>
      </c>
      <c r="L934" s="294">
        <f t="shared" si="143"/>
        <v>0.70718560508058281</v>
      </c>
      <c r="M934" s="309">
        <f t="shared" si="145"/>
        <v>4.6084392379899253</v>
      </c>
      <c r="N934" s="294">
        <v>0</v>
      </c>
      <c r="O934" s="294" t="str">
        <f t="shared" si="139"/>
        <v/>
      </c>
      <c r="P934" s="294"/>
    </row>
    <row r="935" spans="1:16">
      <c r="A935" s="294"/>
      <c r="B935" s="294" t="s">
        <v>586</v>
      </c>
      <c r="C935" s="294" t="s">
        <v>345</v>
      </c>
      <c r="D935" s="295" t="s">
        <v>1061</v>
      </c>
      <c r="E935" s="296">
        <v>10</v>
      </c>
      <c r="F935" s="294">
        <v>18.600000000000001</v>
      </c>
      <c r="G935" s="308">
        <f t="shared" si="141"/>
        <v>11.55682167</v>
      </c>
      <c r="H935" s="294">
        <v>167.9</v>
      </c>
      <c r="I935" s="297"/>
      <c r="J935" s="297"/>
      <c r="K935" s="294">
        <f t="shared" si="142"/>
        <v>2.0535999999999999</v>
      </c>
      <c r="L935" s="294">
        <f t="shared" si="143"/>
        <v>0.66435336670543088</v>
      </c>
      <c r="M935" s="309">
        <f t="shared" si="145"/>
        <v>4.0302029277138862</v>
      </c>
      <c r="N935" s="294">
        <v>0</v>
      </c>
      <c r="O935" s="294" t="str">
        <f t="shared" si="139"/>
        <v/>
      </c>
      <c r="P935" s="294"/>
    </row>
    <row r="936" spans="1:16">
      <c r="A936" s="294"/>
      <c r="B936" s="294" t="s">
        <v>586</v>
      </c>
      <c r="C936" s="294" t="s">
        <v>345</v>
      </c>
      <c r="D936" s="295" t="s">
        <v>1061</v>
      </c>
      <c r="E936" s="296">
        <v>11</v>
      </c>
      <c r="F936" s="294">
        <v>14.7</v>
      </c>
      <c r="G936" s="308">
        <f t="shared" si="141"/>
        <v>6.7586968799999987</v>
      </c>
      <c r="H936" s="294">
        <v>91.6</v>
      </c>
      <c r="I936" s="297"/>
      <c r="J936" s="297"/>
      <c r="K936" s="294">
        <f t="shared" si="142"/>
        <v>2.1471999999999998</v>
      </c>
      <c r="L936" s="294">
        <f t="shared" si="143"/>
        <v>0.61495389297523528</v>
      </c>
      <c r="M936" s="309">
        <f t="shared" si="145"/>
        <v>2.6653079485149269</v>
      </c>
      <c r="N936" s="294">
        <v>0</v>
      </c>
      <c r="O936" s="294" t="str">
        <f t="shared" si="139"/>
        <v/>
      </c>
      <c r="P936" s="294"/>
    </row>
    <row r="937" spans="1:16">
      <c r="A937" s="294"/>
      <c r="B937" s="294" t="s">
        <v>586</v>
      </c>
      <c r="C937" s="294" t="s">
        <v>345</v>
      </c>
      <c r="D937" s="295" t="s">
        <v>1061</v>
      </c>
      <c r="E937" s="296">
        <v>12</v>
      </c>
      <c r="F937" s="294">
        <v>10.9</v>
      </c>
      <c r="G937" s="308">
        <f t="shared" si="141"/>
        <v>7.3298103199999991</v>
      </c>
      <c r="H937" s="294">
        <v>132.4</v>
      </c>
      <c r="I937" s="297"/>
      <c r="J937" s="297"/>
      <c r="K937" s="294">
        <f t="shared" si="142"/>
        <v>2.2383999999999999</v>
      </c>
      <c r="L937" s="294">
        <f t="shared" si="143"/>
        <v>0.56345026615865479</v>
      </c>
      <c r="M937" s="309">
        <f t="shared" si="145"/>
        <v>2.5967108500724696</v>
      </c>
      <c r="N937" s="294">
        <v>0</v>
      </c>
      <c r="O937" s="294" t="str">
        <f t="shared" si="139"/>
        <v/>
      </c>
      <c r="P937" s="294"/>
    </row>
    <row r="938" spans="1:16">
      <c r="A938" s="294">
        <v>79</v>
      </c>
      <c r="B938" s="294" t="s">
        <v>590</v>
      </c>
      <c r="C938" s="294" t="s">
        <v>346</v>
      </c>
      <c r="D938" s="295" t="s">
        <v>1062</v>
      </c>
      <c r="E938" s="296">
        <v>1</v>
      </c>
      <c r="F938" s="294">
        <v>4.9000000000000004</v>
      </c>
      <c r="G938" s="294">
        <v>9.1</v>
      </c>
      <c r="H938" s="294"/>
      <c r="I938" s="294">
        <v>0.79600000000000004</v>
      </c>
      <c r="J938" s="294">
        <v>0.16</v>
      </c>
      <c r="K938" s="294">
        <f t="shared" si="142"/>
        <v>2.3824000000000001</v>
      </c>
      <c r="L938" s="294">
        <f t="shared" si="143"/>
        <v>0.47816140006637126</v>
      </c>
      <c r="M938" s="297">
        <f>$I$938*L938*(G938/K938)+$J$938</f>
        <v>1.6138322353596233</v>
      </c>
      <c r="N938" s="294">
        <v>0</v>
      </c>
      <c r="O938" s="294" t="str">
        <f t="shared" si="139"/>
        <v/>
      </c>
      <c r="P938" s="294">
        <f>AVERAGE(O938:O949)</f>
        <v>5.5292783062844588</v>
      </c>
    </row>
    <row r="939" spans="1:16">
      <c r="A939" s="294"/>
      <c r="B939" s="294" t="s">
        <v>590</v>
      </c>
      <c r="C939" s="294" t="s">
        <v>346</v>
      </c>
      <c r="D939" s="295" t="s">
        <v>1062</v>
      </c>
      <c r="E939" s="296">
        <v>2</v>
      </c>
      <c r="F939" s="294">
        <v>5.7</v>
      </c>
      <c r="G939" s="294">
        <v>12.1</v>
      </c>
      <c r="H939" s="294"/>
      <c r="I939" s="294"/>
      <c r="J939" s="294"/>
      <c r="K939" s="294">
        <f t="shared" si="142"/>
        <v>2.3632</v>
      </c>
      <c r="L939" s="294">
        <f t="shared" si="143"/>
        <v>0.48966257712415773</v>
      </c>
      <c r="M939" s="297">
        <f>$I$938*L939*(G939/K939)+$J$938</f>
        <v>2.1556982387563632</v>
      </c>
      <c r="N939" s="294">
        <v>0</v>
      </c>
      <c r="O939" s="294" t="str">
        <f t="shared" si="139"/>
        <v/>
      </c>
      <c r="P939" s="294"/>
    </row>
    <row r="940" spans="1:16">
      <c r="A940" s="294"/>
      <c r="B940" s="294" t="s">
        <v>590</v>
      </c>
      <c r="C940" s="294" t="s">
        <v>346</v>
      </c>
      <c r="D940" s="295" t="s">
        <v>1062</v>
      </c>
      <c r="E940" s="296">
        <v>3</v>
      </c>
      <c r="F940" s="294">
        <v>9.6999999999999993</v>
      </c>
      <c r="G940" s="294">
        <v>15.5</v>
      </c>
      <c r="H940" s="294"/>
      <c r="I940" s="294"/>
      <c r="J940" s="294"/>
      <c r="K940" s="294">
        <f t="shared" si="142"/>
        <v>2.2671999999999999</v>
      </c>
      <c r="L940" s="294">
        <f t="shared" si="143"/>
        <v>0.54666850117733679</v>
      </c>
      <c r="M940" s="297">
        <f t="shared" ref="M940:M949" si="146">$I$938*L940*(G940/K940)+$J$938</f>
        <v>3.1349452926631893</v>
      </c>
      <c r="N940" s="294">
        <v>0</v>
      </c>
      <c r="O940" s="294" t="str">
        <f t="shared" si="139"/>
        <v/>
      </c>
      <c r="P940" s="294"/>
    </row>
    <row r="941" spans="1:16">
      <c r="A941" s="294"/>
      <c r="B941" s="294" t="s">
        <v>590</v>
      </c>
      <c r="C941" s="294" t="s">
        <v>346</v>
      </c>
      <c r="D941" s="295" t="s">
        <v>1062</v>
      </c>
      <c r="E941" s="296">
        <v>4</v>
      </c>
      <c r="F941" s="294">
        <v>15.2</v>
      </c>
      <c r="G941" s="294">
        <v>14.8</v>
      </c>
      <c r="H941" s="294"/>
      <c r="I941" s="294"/>
      <c r="J941" s="294"/>
      <c r="K941" s="294">
        <f t="shared" si="142"/>
        <v>2.1352000000000002</v>
      </c>
      <c r="L941" s="294">
        <f t="shared" si="143"/>
        <v>0.62150446245737101</v>
      </c>
      <c r="M941" s="297">
        <f t="shared" si="146"/>
        <v>3.5891025530712799</v>
      </c>
      <c r="N941" s="294">
        <v>0</v>
      </c>
      <c r="O941" s="294" t="str">
        <f t="shared" si="139"/>
        <v/>
      </c>
      <c r="P941" s="294"/>
    </row>
    <row r="942" spans="1:16">
      <c r="A942" s="294"/>
      <c r="B942" s="294" t="s">
        <v>590</v>
      </c>
      <c r="C942" s="294" t="s">
        <v>346</v>
      </c>
      <c r="D942" s="295" t="s">
        <v>1062</v>
      </c>
      <c r="E942" s="296">
        <v>5</v>
      </c>
      <c r="F942" s="294">
        <v>21.3</v>
      </c>
      <c r="G942" s="294">
        <v>21.9</v>
      </c>
      <c r="H942" s="294"/>
      <c r="I942" s="294"/>
      <c r="J942" s="294"/>
      <c r="K942" s="294">
        <f t="shared" si="142"/>
        <v>1.9887999999999999</v>
      </c>
      <c r="L942" s="294">
        <f t="shared" si="143"/>
        <v>0.69602860950497947</v>
      </c>
      <c r="M942" s="297">
        <f t="shared" si="146"/>
        <v>6.2608895476340534</v>
      </c>
      <c r="N942" s="294">
        <v>0</v>
      </c>
      <c r="O942" s="294" t="str">
        <f t="shared" si="139"/>
        <v/>
      </c>
      <c r="P942" s="294"/>
    </row>
    <row r="943" spans="1:16">
      <c r="A943" s="294"/>
      <c r="B943" s="294" t="s">
        <v>590</v>
      </c>
      <c r="C943" s="294" t="s">
        <v>346</v>
      </c>
      <c r="D943" s="295" t="s">
        <v>1062</v>
      </c>
      <c r="E943" s="296">
        <v>6</v>
      </c>
      <c r="F943" s="294">
        <v>22.3</v>
      </c>
      <c r="G943" s="294">
        <v>16.3</v>
      </c>
      <c r="H943" s="294"/>
      <c r="I943" s="294"/>
      <c r="J943" s="294"/>
      <c r="K943" s="294">
        <f t="shared" si="142"/>
        <v>1.9647999999999999</v>
      </c>
      <c r="L943" s="294">
        <f t="shared" si="143"/>
        <v>0.70718560508058281</v>
      </c>
      <c r="M943" s="297">
        <f t="shared" si="146"/>
        <v>4.8299876775241994</v>
      </c>
      <c r="N943" s="294">
        <v>0</v>
      </c>
      <c r="O943" s="294" t="str">
        <f t="shared" si="139"/>
        <v/>
      </c>
      <c r="P943" s="294"/>
    </row>
    <row r="944" spans="1:16">
      <c r="A944" s="294"/>
      <c r="B944" s="294" t="s">
        <v>590</v>
      </c>
      <c r="C944" s="294" t="s">
        <v>346</v>
      </c>
      <c r="D944" s="295" t="s">
        <v>1062</v>
      </c>
      <c r="E944" s="296">
        <v>7</v>
      </c>
      <c r="F944" s="294">
        <v>26.5</v>
      </c>
      <c r="G944" s="294">
        <v>15.7</v>
      </c>
      <c r="H944" s="294"/>
      <c r="I944" s="294"/>
      <c r="J944" s="294"/>
      <c r="K944" s="294">
        <f t="shared" si="142"/>
        <v>1.8639999999999999</v>
      </c>
      <c r="L944" s="294">
        <f t="shared" si="143"/>
        <v>0.75047716295715017</v>
      </c>
      <c r="M944" s="297">
        <f t="shared" si="146"/>
        <v>5.191578970444259</v>
      </c>
      <c r="N944" s="294">
        <v>1</v>
      </c>
      <c r="O944" s="294">
        <f t="shared" si="139"/>
        <v>5.191578970444259</v>
      </c>
      <c r="P944" s="294"/>
    </row>
    <row r="945" spans="1:16">
      <c r="A945" s="294"/>
      <c r="B945" s="294" t="s">
        <v>590</v>
      </c>
      <c r="C945" s="294" t="s">
        <v>346</v>
      </c>
      <c r="D945" s="295" t="s">
        <v>1062</v>
      </c>
      <c r="E945" s="296">
        <v>8</v>
      </c>
      <c r="F945" s="294">
        <v>28.1</v>
      </c>
      <c r="G945" s="294">
        <v>17.100000000000001</v>
      </c>
      <c r="H945" s="294"/>
      <c r="I945" s="294"/>
      <c r="J945" s="294"/>
      <c r="K945" s="294">
        <f t="shared" si="142"/>
        <v>1.8256000000000001</v>
      </c>
      <c r="L945" s="294">
        <f t="shared" si="143"/>
        <v>0.7654249598476871</v>
      </c>
      <c r="M945" s="297">
        <f t="shared" si="146"/>
        <v>5.8669776421246596</v>
      </c>
      <c r="N945" s="294">
        <v>1</v>
      </c>
      <c r="O945" s="294">
        <f t="shared" si="139"/>
        <v>5.8669776421246596</v>
      </c>
      <c r="P945" s="294"/>
    </row>
    <row r="946" spans="1:16">
      <c r="A946" s="294"/>
      <c r="B946" s="294" t="s">
        <v>590</v>
      </c>
      <c r="C946" s="294" t="s">
        <v>346</v>
      </c>
      <c r="D946" s="295" t="s">
        <v>1062</v>
      </c>
      <c r="E946" s="296">
        <v>9</v>
      </c>
      <c r="F946" s="294">
        <v>23.1</v>
      </c>
      <c r="G946" s="294">
        <v>14.1</v>
      </c>
      <c r="H946" s="294"/>
      <c r="I946" s="294"/>
      <c r="J946" s="294"/>
      <c r="K946" s="294">
        <f t="shared" si="142"/>
        <v>1.9456</v>
      </c>
      <c r="L946" s="294">
        <f t="shared" si="143"/>
        <v>0.71587957464624719</v>
      </c>
      <c r="M946" s="297">
        <f t="shared" si="146"/>
        <v>4.2897008604027658</v>
      </c>
      <c r="N946" s="294">
        <v>0</v>
      </c>
      <c r="O946" s="294" t="str">
        <f t="shared" si="139"/>
        <v/>
      </c>
      <c r="P946" s="294"/>
    </row>
    <row r="947" spans="1:16">
      <c r="A947" s="294"/>
      <c r="B947" s="294" t="s">
        <v>590</v>
      </c>
      <c r="C947" s="294" t="s">
        <v>346</v>
      </c>
      <c r="D947" s="295" t="s">
        <v>1062</v>
      </c>
      <c r="E947" s="296">
        <v>10</v>
      </c>
      <c r="F947" s="294">
        <v>18.399999999999999</v>
      </c>
      <c r="G947" s="294">
        <v>14.9</v>
      </c>
      <c r="H947" s="294"/>
      <c r="I947" s="294"/>
      <c r="J947" s="294"/>
      <c r="K947" s="294">
        <f t="shared" si="142"/>
        <v>2.0583999999999998</v>
      </c>
      <c r="L947" s="294">
        <f t="shared" si="143"/>
        <v>0.66192047983258717</v>
      </c>
      <c r="M947" s="297">
        <f t="shared" si="146"/>
        <v>3.9739533905005922</v>
      </c>
      <c r="N947" s="294">
        <v>0</v>
      </c>
      <c r="O947" s="294" t="str">
        <f t="shared" si="139"/>
        <v/>
      </c>
      <c r="P947" s="294"/>
    </row>
    <row r="948" spans="1:16">
      <c r="A948" s="294"/>
      <c r="B948" s="294" t="s">
        <v>590</v>
      </c>
      <c r="C948" s="294" t="s">
        <v>346</v>
      </c>
      <c r="D948" s="295" t="s">
        <v>1062</v>
      </c>
      <c r="E948" s="296">
        <v>11</v>
      </c>
      <c r="F948" s="294">
        <v>14.3</v>
      </c>
      <c r="G948" s="294">
        <v>8.9</v>
      </c>
      <c r="H948" s="294"/>
      <c r="I948" s="294"/>
      <c r="J948" s="294"/>
      <c r="K948" s="294">
        <f t="shared" si="142"/>
        <v>2.1568000000000001</v>
      </c>
      <c r="L948" s="294">
        <f t="shared" si="143"/>
        <v>0.60967164273634389</v>
      </c>
      <c r="M948" s="297">
        <f t="shared" si="146"/>
        <v>2.1625768665622007</v>
      </c>
      <c r="N948" s="294">
        <v>0</v>
      </c>
      <c r="O948" s="294" t="str">
        <f t="shared" si="139"/>
        <v/>
      </c>
      <c r="P948" s="294"/>
    </row>
    <row r="949" spans="1:16">
      <c r="A949" s="294"/>
      <c r="B949" s="294" t="s">
        <v>590</v>
      </c>
      <c r="C949" s="294" t="s">
        <v>346</v>
      </c>
      <c r="D949" s="295" t="s">
        <v>1062</v>
      </c>
      <c r="E949" s="296">
        <v>12</v>
      </c>
      <c r="F949" s="294">
        <v>9.3000000000000007</v>
      </c>
      <c r="G949" s="294">
        <v>8.9</v>
      </c>
      <c r="H949" s="294"/>
      <c r="I949" s="294"/>
      <c r="J949" s="294"/>
      <c r="K949" s="294">
        <f t="shared" si="142"/>
        <v>2.2768000000000002</v>
      </c>
      <c r="L949" s="294">
        <f t="shared" si="143"/>
        <v>0.5410323242451861</v>
      </c>
      <c r="M949" s="297">
        <f t="shared" si="146"/>
        <v>1.8434545844530026</v>
      </c>
      <c r="N949" s="294">
        <v>0</v>
      </c>
      <c r="O949" s="294" t="str">
        <f t="shared" si="139"/>
        <v/>
      </c>
      <c r="P949" s="294"/>
    </row>
    <row r="950" spans="1:16">
      <c r="A950" s="294">
        <v>80</v>
      </c>
      <c r="B950" s="294" t="s">
        <v>590</v>
      </c>
      <c r="C950" s="294" t="s">
        <v>591</v>
      </c>
      <c r="D950" s="295" t="s">
        <v>1062</v>
      </c>
      <c r="E950" s="296">
        <v>1</v>
      </c>
      <c r="F950" s="294">
        <v>6.1</v>
      </c>
      <c r="G950" s="308">
        <f t="shared" ref="G950:G981" si="147">$T$11+$T$12*H950+INDEX($T$13:$T$24,MATCH(E950,$S$13:$S$24,0),1)</f>
        <v>10.056592900000002</v>
      </c>
      <c r="H950" s="294">
        <v>177</v>
      </c>
      <c r="I950" s="306">
        <v>0.71199999999999997</v>
      </c>
      <c r="J950" s="307">
        <v>1.78</v>
      </c>
      <c r="K950" s="294">
        <f t="shared" si="142"/>
        <v>2.3536000000000001</v>
      </c>
      <c r="L950" s="294">
        <f t="shared" si="143"/>
        <v>0.49540811078051672</v>
      </c>
      <c r="M950" s="309">
        <f>$I$950*L950*(G950/K950)+$J$950</f>
        <v>3.2871668061302532</v>
      </c>
      <c r="N950" s="294">
        <v>0</v>
      </c>
      <c r="O950" s="294" t="str">
        <f t="shared" si="139"/>
        <v/>
      </c>
      <c r="P950" s="294">
        <f>AVERAGE(O950:O961)</f>
        <v>6.7592874438057553</v>
      </c>
    </row>
    <row r="951" spans="1:16">
      <c r="A951" s="294"/>
      <c r="B951" s="294" t="s">
        <v>590</v>
      </c>
      <c r="C951" s="294" t="s">
        <v>591</v>
      </c>
      <c r="D951" s="295" t="s">
        <v>1062</v>
      </c>
      <c r="E951" s="296">
        <v>2</v>
      </c>
      <c r="F951" s="294">
        <v>6.5</v>
      </c>
      <c r="G951" s="308">
        <f t="shared" si="147"/>
        <v>12.604287739999998</v>
      </c>
      <c r="H951" s="294">
        <v>179.8</v>
      </c>
      <c r="I951" s="297"/>
      <c r="J951" s="297"/>
      <c r="K951" s="294">
        <f t="shared" si="142"/>
        <v>2.3439999999999999</v>
      </c>
      <c r="L951" s="294">
        <f t="shared" si="143"/>
        <v>0.50114804539465463</v>
      </c>
      <c r="M951" s="309">
        <f t="shared" ref="M951:M961" si="148">$I$950*L951*(G951/K951)+$J$950</f>
        <v>3.6986985004773376</v>
      </c>
      <c r="N951" s="294">
        <v>0</v>
      </c>
      <c r="O951" s="294" t="str">
        <f t="shared" si="139"/>
        <v/>
      </c>
      <c r="P951" s="294"/>
    </row>
    <row r="952" spans="1:16">
      <c r="A952" s="294"/>
      <c r="B952" s="294" t="s">
        <v>590</v>
      </c>
      <c r="C952" s="294" t="s">
        <v>591</v>
      </c>
      <c r="D952" s="295" t="s">
        <v>1062</v>
      </c>
      <c r="E952" s="296">
        <v>3</v>
      </c>
      <c r="F952" s="294">
        <v>9.8000000000000007</v>
      </c>
      <c r="G952" s="308">
        <f t="shared" si="147"/>
        <v>15.019803799999998</v>
      </c>
      <c r="H952" s="294">
        <v>197</v>
      </c>
      <c r="I952" s="297"/>
      <c r="J952" s="297"/>
      <c r="K952" s="294">
        <f t="shared" si="142"/>
        <v>2.2648000000000001</v>
      </c>
      <c r="L952" s="294">
        <f t="shared" si="143"/>
        <v>0.54807446203847976</v>
      </c>
      <c r="M952" s="309">
        <f t="shared" si="148"/>
        <v>4.3679385694000619</v>
      </c>
      <c r="N952" s="294">
        <v>0</v>
      </c>
      <c r="O952" s="294" t="str">
        <f t="shared" si="139"/>
        <v/>
      </c>
      <c r="P952" s="294"/>
    </row>
    <row r="953" spans="1:16">
      <c r="A953" s="294"/>
      <c r="B953" s="294" t="s">
        <v>590</v>
      </c>
      <c r="C953" s="294" t="s">
        <v>591</v>
      </c>
      <c r="D953" s="295" t="s">
        <v>1062</v>
      </c>
      <c r="E953" s="296">
        <v>4</v>
      </c>
      <c r="F953" s="294">
        <v>15</v>
      </c>
      <c r="G953" s="308">
        <f t="shared" si="147"/>
        <v>14.059944340000001</v>
      </c>
      <c r="H953" s="294">
        <v>133.80000000000001</v>
      </c>
      <c r="I953" s="297"/>
      <c r="J953" s="297"/>
      <c r="K953" s="294">
        <f t="shared" si="142"/>
        <v>2.14</v>
      </c>
      <c r="L953" s="294">
        <f t="shared" si="143"/>
        <v>0.61889132462533447</v>
      </c>
      <c r="M953" s="309">
        <f t="shared" si="148"/>
        <v>4.6751043152521703</v>
      </c>
      <c r="N953" s="294">
        <v>0</v>
      </c>
      <c r="O953" s="294" t="str">
        <f t="shared" si="139"/>
        <v/>
      </c>
      <c r="P953" s="294"/>
    </row>
    <row r="954" spans="1:16">
      <c r="A954" s="294"/>
      <c r="B954" s="294" t="s">
        <v>590</v>
      </c>
      <c r="C954" s="294" t="s">
        <v>591</v>
      </c>
      <c r="D954" s="295" t="s">
        <v>1062</v>
      </c>
      <c r="E954" s="296">
        <v>5</v>
      </c>
      <c r="F954" s="294">
        <v>20</v>
      </c>
      <c r="G954" s="308">
        <f t="shared" si="147"/>
        <v>20.473779090000001</v>
      </c>
      <c r="H954" s="294">
        <v>235.3</v>
      </c>
      <c r="I954" s="297"/>
      <c r="J954" s="297"/>
      <c r="K954" s="294">
        <f t="shared" si="142"/>
        <v>2.02</v>
      </c>
      <c r="L954" s="294">
        <f t="shared" si="143"/>
        <v>0.68105417257260759</v>
      </c>
      <c r="M954" s="309">
        <f t="shared" si="148"/>
        <v>6.6948276764519337</v>
      </c>
      <c r="N954" s="294">
        <v>0</v>
      </c>
      <c r="O954" s="294" t="str">
        <f t="shared" si="139"/>
        <v/>
      </c>
      <c r="P954" s="294"/>
    </row>
    <row r="955" spans="1:16">
      <c r="A955" s="294"/>
      <c r="B955" s="294" t="s">
        <v>590</v>
      </c>
      <c r="C955" s="294" t="s">
        <v>591</v>
      </c>
      <c r="D955" s="295" t="s">
        <v>1062</v>
      </c>
      <c r="E955" s="296">
        <v>6</v>
      </c>
      <c r="F955" s="294">
        <v>21.4</v>
      </c>
      <c r="G955" s="308">
        <f t="shared" si="147"/>
        <v>15.91451069</v>
      </c>
      <c r="H955" s="294">
        <v>133.30000000000001</v>
      </c>
      <c r="I955" s="297"/>
      <c r="J955" s="297"/>
      <c r="K955" s="294">
        <f t="shared" si="142"/>
        <v>1.9864000000000002</v>
      </c>
      <c r="L955" s="294">
        <f t="shared" si="143"/>
        <v>0.69715862454510524</v>
      </c>
      <c r="M955" s="309">
        <f t="shared" si="148"/>
        <v>5.7568405802756377</v>
      </c>
      <c r="N955" s="294">
        <v>0</v>
      </c>
      <c r="O955" s="294" t="str">
        <f t="shared" si="139"/>
        <v/>
      </c>
      <c r="P955" s="294"/>
    </row>
    <row r="956" spans="1:16">
      <c r="A956" s="294"/>
      <c r="B956" s="294" t="s">
        <v>590</v>
      </c>
      <c r="C956" s="294" t="s">
        <v>591</v>
      </c>
      <c r="D956" s="295" t="s">
        <v>1062</v>
      </c>
      <c r="E956" s="296">
        <v>7</v>
      </c>
      <c r="F956" s="294">
        <v>25.5</v>
      </c>
      <c r="G956" s="308">
        <f t="shared" si="147"/>
        <v>17.434696150000001</v>
      </c>
      <c r="H956" s="294">
        <v>175.5</v>
      </c>
      <c r="I956" s="297"/>
      <c r="J956" s="297"/>
      <c r="K956" s="294">
        <f t="shared" si="142"/>
        <v>1.8879999999999999</v>
      </c>
      <c r="L956" s="294">
        <f t="shared" si="143"/>
        <v>0.74070040203683252</v>
      </c>
      <c r="M956" s="309">
        <f t="shared" si="148"/>
        <v>6.65006734680024</v>
      </c>
      <c r="N956" s="294">
        <v>1</v>
      </c>
      <c r="O956" s="294">
        <f t="shared" si="139"/>
        <v>6.65006734680024</v>
      </c>
      <c r="P956" s="294"/>
    </row>
    <row r="957" spans="1:16">
      <c r="A957" s="294"/>
      <c r="B957" s="294" t="s">
        <v>590</v>
      </c>
      <c r="C957" s="294" t="s">
        <v>591</v>
      </c>
      <c r="D957" s="295" t="s">
        <v>1062</v>
      </c>
      <c r="E957" s="296">
        <v>8</v>
      </c>
      <c r="F957" s="294">
        <v>27.6</v>
      </c>
      <c r="G957" s="308">
        <f t="shared" si="147"/>
        <v>17.260957690000001</v>
      </c>
      <c r="H957" s="294">
        <v>188.3</v>
      </c>
      <c r="I957" s="297"/>
      <c r="J957" s="297"/>
      <c r="K957" s="294">
        <f t="shared" si="142"/>
        <v>1.8375999999999999</v>
      </c>
      <c r="L957" s="294">
        <f t="shared" si="143"/>
        <v>0.76084558171787064</v>
      </c>
      <c r="M957" s="309">
        <f t="shared" si="148"/>
        <v>6.8685075408112715</v>
      </c>
      <c r="N957" s="294">
        <v>1</v>
      </c>
      <c r="O957" s="294">
        <f t="shared" si="139"/>
        <v>6.8685075408112715</v>
      </c>
      <c r="P957" s="294"/>
    </row>
    <row r="958" spans="1:16">
      <c r="A958" s="294"/>
      <c r="B958" s="294" t="s">
        <v>590</v>
      </c>
      <c r="C958" s="294" t="s">
        <v>591</v>
      </c>
      <c r="D958" s="295" t="s">
        <v>1062</v>
      </c>
      <c r="E958" s="296">
        <v>9</v>
      </c>
      <c r="F958" s="294">
        <v>23.3</v>
      </c>
      <c r="G958" s="308">
        <f t="shared" si="147"/>
        <v>14.79015124</v>
      </c>
      <c r="H958" s="294">
        <v>172.8</v>
      </c>
      <c r="I958" s="297"/>
      <c r="J958" s="297"/>
      <c r="K958" s="294">
        <f t="shared" si="142"/>
        <v>1.9407999999999999</v>
      </c>
      <c r="L958" s="294">
        <f t="shared" si="143"/>
        <v>0.71802052338175526</v>
      </c>
      <c r="M958" s="309">
        <f t="shared" si="148"/>
        <v>5.6759079140452195</v>
      </c>
      <c r="N958" s="294">
        <v>0</v>
      </c>
      <c r="O958" s="294" t="str">
        <f t="shared" si="139"/>
        <v/>
      </c>
      <c r="P958" s="294"/>
    </row>
    <row r="959" spans="1:16">
      <c r="A959" s="294"/>
      <c r="B959" s="294" t="s">
        <v>590</v>
      </c>
      <c r="C959" s="294" t="s">
        <v>591</v>
      </c>
      <c r="D959" s="295" t="s">
        <v>1062</v>
      </c>
      <c r="E959" s="296">
        <v>10</v>
      </c>
      <c r="F959" s="294">
        <v>18.899999999999999</v>
      </c>
      <c r="G959" s="308">
        <f t="shared" si="147"/>
        <v>14.219700719999999</v>
      </c>
      <c r="H959" s="294">
        <v>226.4</v>
      </c>
      <c r="I959" s="297"/>
      <c r="J959" s="297"/>
      <c r="K959" s="294">
        <f t="shared" si="142"/>
        <v>2.0464000000000002</v>
      </c>
      <c r="L959" s="294">
        <f t="shared" si="143"/>
        <v>0.66798094574788913</v>
      </c>
      <c r="M959" s="309">
        <f t="shared" si="148"/>
        <v>5.0847909813627084</v>
      </c>
      <c r="N959" s="294">
        <v>0</v>
      </c>
      <c r="O959" s="294" t="str">
        <f t="shared" si="139"/>
        <v/>
      </c>
      <c r="P959" s="294"/>
    </row>
    <row r="960" spans="1:16">
      <c r="A960" s="294"/>
      <c r="B960" s="294" t="s">
        <v>590</v>
      </c>
      <c r="C960" s="294" t="s">
        <v>591</v>
      </c>
      <c r="D960" s="295" t="s">
        <v>1062</v>
      </c>
      <c r="E960" s="296">
        <v>11</v>
      </c>
      <c r="F960" s="294">
        <v>15</v>
      </c>
      <c r="G960" s="308">
        <f t="shared" si="147"/>
        <v>8.4975341399999991</v>
      </c>
      <c r="H960" s="294">
        <v>129.80000000000001</v>
      </c>
      <c r="I960" s="297"/>
      <c r="J960" s="297"/>
      <c r="K960" s="294">
        <f t="shared" si="142"/>
        <v>2.14</v>
      </c>
      <c r="L960" s="294">
        <f t="shared" si="143"/>
        <v>0.61889132462533447</v>
      </c>
      <c r="M960" s="309">
        <f t="shared" si="148"/>
        <v>3.5297400532182075</v>
      </c>
      <c r="N960" s="294">
        <v>0</v>
      </c>
      <c r="O960" s="294" t="str">
        <f t="shared" si="139"/>
        <v/>
      </c>
      <c r="P960" s="294"/>
    </row>
    <row r="961" spans="1:16">
      <c r="A961" s="294"/>
      <c r="B961" s="294" t="s">
        <v>590</v>
      </c>
      <c r="C961" s="294" t="s">
        <v>591</v>
      </c>
      <c r="D961" s="295" t="s">
        <v>1062</v>
      </c>
      <c r="E961" s="296">
        <v>12</v>
      </c>
      <c r="F961" s="294">
        <v>10.5</v>
      </c>
      <c r="G961" s="308">
        <f t="shared" si="147"/>
        <v>8.9594012599999999</v>
      </c>
      <c r="H961" s="294">
        <v>168.2</v>
      </c>
      <c r="I961" s="297"/>
      <c r="J961" s="297"/>
      <c r="K961" s="294">
        <f t="shared" si="142"/>
        <v>2.2480000000000002</v>
      </c>
      <c r="L961" s="294">
        <f t="shared" si="143"/>
        <v>0.55787898239898637</v>
      </c>
      <c r="M961" s="309">
        <f t="shared" si="148"/>
        <v>3.3630793151143648</v>
      </c>
      <c r="N961" s="294">
        <v>0</v>
      </c>
      <c r="O961" s="294" t="str">
        <f t="shared" si="139"/>
        <v/>
      </c>
      <c r="P961" s="294"/>
    </row>
    <row r="962" spans="1:16">
      <c r="A962" s="294">
        <v>81</v>
      </c>
      <c r="B962" s="294" t="s">
        <v>592</v>
      </c>
      <c r="C962" s="294" t="s">
        <v>593</v>
      </c>
      <c r="D962" s="295" t="s">
        <v>1055</v>
      </c>
      <c r="E962" s="296">
        <v>1</v>
      </c>
      <c r="F962" s="294">
        <v>5.7</v>
      </c>
      <c r="G962" s="308">
        <f t="shared" si="147"/>
        <v>1.9996768000000005</v>
      </c>
      <c r="H962" s="308"/>
      <c r="I962" s="306">
        <v>0.85599999999999998</v>
      </c>
      <c r="J962" s="307">
        <v>0.44</v>
      </c>
      <c r="K962" s="294">
        <f t="shared" si="142"/>
        <v>2.3632</v>
      </c>
      <c r="L962" s="294">
        <f t="shared" si="143"/>
        <v>0.48966257712415773</v>
      </c>
      <c r="M962" s="309">
        <f>$I$962*L962*(G962/K962)+$J$962</f>
        <v>0.79467453553643419</v>
      </c>
      <c r="N962" s="294">
        <v>0</v>
      </c>
      <c r="O962" s="294" t="str">
        <f t="shared" ref="O962:O1025" si="149">IF(N962*M962=0,"",N962*M962)</f>
        <v/>
      </c>
      <c r="P962" s="294">
        <f>AVERAGE(O962:O973)</f>
        <v>3.6070615718285381</v>
      </c>
    </row>
    <row r="963" spans="1:16">
      <c r="A963" s="294"/>
      <c r="B963" s="294" t="s">
        <v>592</v>
      </c>
      <c r="C963" s="294" t="s">
        <v>593</v>
      </c>
      <c r="D963" s="295" t="s">
        <v>1055</v>
      </c>
      <c r="E963" s="296">
        <v>2</v>
      </c>
      <c r="F963" s="294">
        <v>6.2</v>
      </c>
      <c r="G963" s="308">
        <f t="shared" si="147"/>
        <v>4.4199175999999998</v>
      </c>
      <c r="H963" s="308"/>
      <c r="I963" s="294"/>
      <c r="J963" s="294"/>
      <c r="K963" s="294">
        <f t="shared" si="142"/>
        <v>2.3512</v>
      </c>
      <c r="L963" s="294">
        <f t="shared" si="143"/>
        <v>0.49684368447763227</v>
      </c>
      <c r="M963" s="309">
        <f t="shared" ref="M963:M973" si="150">$I$962*L963*(G963/K963)+$J$962</f>
        <v>1.2394993928732703</v>
      </c>
      <c r="N963" s="294">
        <v>0</v>
      </c>
      <c r="O963" s="294" t="str">
        <f t="shared" si="149"/>
        <v/>
      </c>
      <c r="P963" s="294"/>
    </row>
    <row r="964" spans="1:16">
      <c r="A964" s="294"/>
      <c r="B964" s="294" t="s">
        <v>592</v>
      </c>
      <c r="C964" s="294" t="s">
        <v>593</v>
      </c>
      <c r="D964" s="295" t="s">
        <v>1055</v>
      </c>
      <c r="E964" s="296">
        <v>3</v>
      </c>
      <c r="F964" s="294">
        <v>9.5</v>
      </c>
      <c r="G964" s="308">
        <f t="shared" si="147"/>
        <v>6.0525017000000005</v>
      </c>
      <c r="H964" s="308"/>
      <c r="I964" s="294"/>
      <c r="J964" s="294"/>
      <c r="K964" s="294">
        <f t="shared" si="142"/>
        <v>2.2719999999999998</v>
      </c>
      <c r="L964" s="294">
        <f t="shared" si="143"/>
        <v>0.54385283124797501</v>
      </c>
      <c r="M964" s="309">
        <f t="shared" si="150"/>
        <v>1.6801715136181885</v>
      </c>
      <c r="N964" s="294">
        <v>0</v>
      </c>
      <c r="O964" s="294" t="str">
        <f t="shared" si="149"/>
        <v/>
      </c>
      <c r="P964" s="294"/>
    </row>
    <row r="965" spans="1:16">
      <c r="A965" s="294"/>
      <c r="B965" s="294" t="s">
        <v>592</v>
      </c>
      <c r="C965" s="294" t="s">
        <v>593</v>
      </c>
      <c r="D965" s="295" t="s">
        <v>1055</v>
      </c>
      <c r="E965" s="296">
        <v>4</v>
      </c>
      <c r="F965" s="294">
        <v>14.8</v>
      </c>
      <c r="G965" s="308">
        <f t="shared" si="147"/>
        <v>7.969462</v>
      </c>
      <c r="H965" s="308"/>
      <c r="I965" s="294"/>
      <c r="J965" s="294"/>
      <c r="K965" s="294">
        <f t="shared" si="142"/>
        <v>2.1448</v>
      </c>
      <c r="L965" s="294">
        <f t="shared" si="143"/>
        <v>0.61626871010483331</v>
      </c>
      <c r="M965" s="309">
        <f t="shared" si="150"/>
        <v>2.4001354612671948</v>
      </c>
      <c r="N965" s="294">
        <v>0</v>
      </c>
      <c r="O965" s="294" t="str">
        <f t="shared" si="149"/>
        <v/>
      </c>
      <c r="P965" s="294"/>
    </row>
    <row r="966" spans="1:16">
      <c r="A966" s="294"/>
      <c r="B966" s="294" t="s">
        <v>592</v>
      </c>
      <c r="C966" s="294" t="s">
        <v>593</v>
      </c>
      <c r="D966" s="295" t="s">
        <v>1055</v>
      </c>
      <c r="E966" s="296">
        <v>5</v>
      </c>
      <c r="F966" s="294">
        <v>20.7</v>
      </c>
      <c r="G966" s="308">
        <f t="shared" si="147"/>
        <v>9.763087800000001</v>
      </c>
      <c r="H966" s="308"/>
      <c r="I966" s="294"/>
      <c r="J966" s="294"/>
      <c r="K966" s="294">
        <f t="shared" si="142"/>
        <v>2.0032000000000001</v>
      </c>
      <c r="L966" s="294">
        <f t="shared" si="143"/>
        <v>0.68918252559756299</v>
      </c>
      <c r="M966" s="309">
        <f t="shared" si="150"/>
        <v>3.3152188391250754</v>
      </c>
      <c r="N966" s="294">
        <v>0</v>
      </c>
      <c r="O966" s="294" t="str">
        <f t="shared" si="149"/>
        <v/>
      </c>
      <c r="P966" s="294"/>
    </row>
    <row r="967" spans="1:16">
      <c r="A967" s="294"/>
      <c r="B967" s="294" t="s">
        <v>592</v>
      </c>
      <c r="C967" s="294" t="s">
        <v>593</v>
      </c>
      <c r="D967" s="295" t="s">
        <v>1055</v>
      </c>
      <c r="E967" s="296">
        <v>6</v>
      </c>
      <c r="F967" s="294">
        <v>21.9</v>
      </c>
      <c r="G967" s="308">
        <f t="shared" si="147"/>
        <v>9.8467880000000001</v>
      </c>
      <c r="H967" s="308"/>
      <c r="I967" s="294"/>
      <c r="J967" s="294"/>
      <c r="K967" s="294">
        <f t="shared" si="142"/>
        <v>1.9744000000000002</v>
      </c>
      <c r="L967" s="294">
        <f t="shared" si="143"/>
        <v>0.70276111711361078</v>
      </c>
      <c r="M967" s="309">
        <f t="shared" si="150"/>
        <v>3.4401359466374228</v>
      </c>
      <c r="N967" s="294">
        <v>0</v>
      </c>
      <c r="O967" s="294" t="str">
        <f t="shared" si="149"/>
        <v/>
      </c>
      <c r="P967" s="294"/>
    </row>
    <row r="968" spans="1:16">
      <c r="A968" s="294"/>
      <c r="B968" s="294" t="s">
        <v>592</v>
      </c>
      <c r="C968" s="294" t="s">
        <v>593</v>
      </c>
      <c r="D968" s="295" t="s">
        <v>1055</v>
      </c>
      <c r="E968" s="296">
        <v>7</v>
      </c>
      <c r="F968" s="294">
        <v>26.3</v>
      </c>
      <c r="G968" s="308">
        <f t="shared" si="147"/>
        <v>9.446059</v>
      </c>
      <c r="H968" s="308"/>
      <c r="I968" s="294"/>
      <c r="J968" s="294"/>
      <c r="K968" s="294">
        <f t="shared" si="142"/>
        <v>1.8688</v>
      </c>
      <c r="L968" s="294">
        <f t="shared" si="143"/>
        <v>0.74854854390536441</v>
      </c>
      <c r="M968" s="309">
        <f t="shared" si="150"/>
        <v>3.6787808517982676</v>
      </c>
      <c r="N968" s="294">
        <v>1</v>
      </c>
      <c r="O968" s="294">
        <f t="shared" si="149"/>
        <v>3.6787808517982676</v>
      </c>
      <c r="P968" s="294"/>
    </row>
    <row r="969" spans="1:16">
      <c r="A969" s="294"/>
      <c r="B969" s="294" t="s">
        <v>592</v>
      </c>
      <c r="C969" s="294" t="s">
        <v>593</v>
      </c>
      <c r="D969" s="295" t="s">
        <v>1055</v>
      </c>
      <c r="E969" s="296">
        <v>8</v>
      </c>
      <c r="F969" s="294">
        <v>27.8</v>
      </c>
      <c r="G969" s="308">
        <f t="shared" si="147"/>
        <v>8.6896734999999996</v>
      </c>
      <c r="H969" s="308"/>
      <c r="I969" s="294"/>
      <c r="J969" s="294"/>
      <c r="K969" s="294">
        <f t="shared" si="142"/>
        <v>1.8328</v>
      </c>
      <c r="L969" s="294">
        <f t="shared" si="143"/>
        <v>0.76268733416669277</v>
      </c>
      <c r="M969" s="309">
        <f t="shared" si="150"/>
        <v>3.5353422918588087</v>
      </c>
      <c r="N969" s="294">
        <v>1</v>
      </c>
      <c r="O969" s="294">
        <f t="shared" si="149"/>
        <v>3.5353422918588087</v>
      </c>
      <c r="P969" s="294"/>
    </row>
    <row r="970" spans="1:16">
      <c r="A970" s="294"/>
      <c r="B970" s="294" t="s">
        <v>592</v>
      </c>
      <c r="C970" s="294" t="s">
        <v>593</v>
      </c>
      <c r="D970" s="295" t="s">
        <v>1055</v>
      </c>
      <c r="E970" s="296">
        <v>9</v>
      </c>
      <c r="F970" s="294">
        <v>23.2</v>
      </c>
      <c r="G970" s="308">
        <f t="shared" si="147"/>
        <v>6.9244161999999996</v>
      </c>
      <c r="H970" s="308"/>
      <c r="I970" s="294"/>
      <c r="J970" s="294"/>
      <c r="K970" s="294">
        <f t="shared" si="142"/>
        <v>1.9432</v>
      </c>
      <c r="L970" s="294">
        <f t="shared" si="143"/>
        <v>0.71695168352445504</v>
      </c>
      <c r="M970" s="309">
        <f t="shared" si="150"/>
        <v>2.6269019685693658</v>
      </c>
      <c r="N970" s="294">
        <v>0</v>
      </c>
      <c r="O970" s="294" t="str">
        <f t="shared" si="149"/>
        <v/>
      </c>
      <c r="P970" s="294"/>
    </row>
    <row r="971" spans="1:16">
      <c r="A971" s="294"/>
      <c r="B971" s="294" t="s">
        <v>592</v>
      </c>
      <c r="C971" s="294" t="s">
        <v>593</v>
      </c>
      <c r="D971" s="295" t="s">
        <v>1055</v>
      </c>
      <c r="E971" s="296">
        <v>10</v>
      </c>
      <c r="F971" s="294">
        <v>18.5</v>
      </c>
      <c r="G971" s="308">
        <f t="shared" si="147"/>
        <v>3.9141311999999999</v>
      </c>
      <c r="H971" s="308"/>
      <c r="I971" s="294"/>
      <c r="J971" s="294"/>
      <c r="K971" s="294">
        <f t="shared" si="142"/>
        <v>2.056</v>
      </c>
      <c r="L971" s="294">
        <f t="shared" si="143"/>
        <v>0.6631383655085662</v>
      </c>
      <c r="M971" s="309">
        <f t="shared" si="150"/>
        <v>1.5206627649801046</v>
      </c>
      <c r="N971" s="294">
        <v>0</v>
      </c>
      <c r="O971" s="294" t="str">
        <f t="shared" si="149"/>
        <v/>
      </c>
      <c r="P971" s="294"/>
    </row>
    <row r="972" spans="1:16">
      <c r="A972" s="294"/>
      <c r="B972" s="294" t="s">
        <v>592</v>
      </c>
      <c r="C972" s="294" t="s">
        <v>593</v>
      </c>
      <c r="D972" s="295" t="s">
        <v>1055</v>
      </c>
      <c r="E972" s="296">
        <v>11</v>
      </c>
      <c r="F972" s="294">
        <v>14.6</v>
      </c>
      <c r="G972" s="308">
        <f t="shared" si="147"/>
        <v>2.5891289999999998</v>
      </c>
      <c r="H972" s="308"/>
      <c r="I972" s="294"/>
      <c r="J972" s="294"/>
      <c r="K972" s="294">
        <f t="shared" si="142"/>
        <v>2.1496</v>
      </c>
      <c r="L972" s="294">
        <f t="shared" si="143"/>
        <v>0.61363675963733433</v>
      </c>
      <c r="M972" s="309">
        <f>$I$962*L972*(G972/K972)+$J$962</f>
        <v>1.0726757204808579</v>
      </c>
      <c r="N972" s="294">
        <v>0</v>
      </c>
      <c r="O972" s="294" t="str">
        <f t="shared" si="149"/>
        <v/>
      </c>
      <c r="P972" s="294"/>
    </row>
    <row r="973" spans="1:16">
      <c r="A973" s="294"/>
      <c r="B973" s="294" t="s">
        <v>592</v>
      </c>
      <c r="C973" s="294" t="s">
        <v>593</v>
      </c>
      <c r="D973" s="295" t="s">
        <v>1055</v>
      </c>
      <c r="E973" s="296">
        <v>12</v>
      </c>
      <c r="F973" s="294">
        <v>9.9</v>
      </c>
      <c r="G973" s="308">
        <f t="shared" si="147"/>
        <v>1.3030549999999996</v>
      </c>
      <c r="H973" s="308"/>
      <c r="I973" s="294"/>
      <c r="J973" s="294"/>
      <c r="K973" s="294">
        <f t="shared" si="142"/>
        <v>2.2624</v>
      </c>
      <c r="L973" s="294">
        <f t="shared" si="143"/>
        <v>0.54947914156562316</v>
      </c>
      <c r="M973" s="309">
        <f t="shared" si="150"/>
        <v>0.7109058171179945</v>
      </c>
      <c r="N973" s="294">
        <v>0</v>
      </c>
      <c r="O973" s="294" t="str">
        <f t="shared" si="149"/>
        <v/>
      </c>
      <c r="P973" s="294"/>
    </row>
    <row r="974" spans="1:16">
      <c r="A974" s="294">
        <v>82</v>
      </c>
      <c r="B974" s="294" t="s">
        <v>592</v>
      </c>
      <c r="C974" s="294" t="s">
        <v>350</v>
      </c>
      <c r="D974" s="295" t="s">
        <v>1055</v>
      </c>
      <c r="E974" s="296">
        <v>1</v>
      </c>
      <c r="F974" s="294">
        <v>3.9</v>
      </c>
      <c r="G974" s="308">
        <f t="shared" si="147"/>
        <v>6.6608531199999996</v>
      </c>
      <c r="H974" s="294">
        <v>102.4</v>
      </c>
      <c r="I974" s="306">
        <v>0.877</v>
      </c>
      <c r="J974" s="307">
        <v>0.11</v>
      </c>
      <c r="K974" s="294">
        <f t="shared" si="142"/>
        <v>2.4064000000000001</v>
      </c>
      <c r="L974" s="294">
        <f t="shared" si="143"/>
        <v>0.46378326771227446</v>
      </c>
      <c r="M974" s="309">
        <f>$I$974*L974*(G974/K974)+$J$974</f>
        <v>1.2358400855960985</v>
      </c>
      <c r="N974" s="294">
        <v>0</v>
      </c>
      <c r="O974" s="294" t="str">
        <f t="shared" si="149"/>
        <v/>
      </c>
      <c r="P974" s="294">
        <f>AVERAGE(O974:O985)</f>
        <v>5.7797283771853891</v>
      </c>
    </row>
    <row r="975" spans="1:16">
      <c r="A975" s="294"/>
      <c r="B975" s="294" t="s">
        <v>592</v>
      </c>
      <c r="C975" s="294" t="s">
        <v>350</v>
      </c>
      <c r="D975" s="295" t="s">
        <v>1055</v>
      </c>
      <c r="E975" s="296">
        <v>2</v>
      </c>
      <c r="F975" s="294">
        <v>4.4000000000000004</v>
      </c>
      <c r="G975" s="308">
        <f t="shared" si="147"/>
        <v>9.3268981399999991</v>
      </c>
      <c r="H975" s="294">
        <v>107.8</v>
      </c>
      <c r="I975" s="297"/>
      <c r="J975" s="297"/>
      <c r="K975" s="294">
        <f t="shared" si="142"/>
        <v>2.3944000000000001</v>
      </c>
      <c r="L975" s="294">
        <f t="shared" si="143"/>
        <v>0.47097114415321184</v>
      </c>
      <c r="M975" s="309">
        <f t="shared" ref="M975:M985" si="151">$I$974*L975*(G975/K975)+$J$974</f>
        <v>1.7189198973118622</v>
      </c>
      <c r="N975" s="294">
        <v>0</v>
      </c>
      <c r="O975" s="294" t="str">
        <f t="shared" si="149"/>
        <v/>
      </c>
      <c r="P975" s="294"/>
    </row>
    <row r="976" spans="1:16">
      <c r="A976" s="294"/>
      <c r="B976" s="294" t="s">
        <v>592</v>
      </c>
      <c r="C976" s="294" t="s">
        <v>350</v>
      </c>
      <c r="D976" s="295" t="s">
        <v>1055</v>
      </c>
      <c r="E976" s="296">
        <v>3</v>
      </c>
      <c r="F976" s="294">
        <v>7.8</v>
      </c>
      <c r="G976" s="308">
        <f t="shared" si="147"/>
        <v>13.03061039</v>
      </c>
      <c r="H976" s="294">
        <v>153.30000000000001</v>
      </c>
      <c r="I976" s="297"/>
      <c r="J976" s="297"/>
      <c r="K976" s="294">
        <f t="shared" si="142"/>
        <v>2.3128000000000002</v>
      </c>
      <c r="L976" s="294">
        <f t="shared" si="143"/>
        <v>0.51974411192253844</v>
      </c>
      <c r="M976" s="309">
        <f t="shared" si="151"/>
        <v>2.6781231895923452</v>
      </c>
      <c r="N976" s="294">
        <v>0</v>
      </c>
      <c r="O976" s="294" t="str">
        <f t="shared" si="149"/>
        <v/>
      </c>
      <c r="P976" s="294"/>
    </row>
    <row r="977" spans="1:16">
      <c r="A977" s="294"/>
      <c r="B977" s="294" t="s">
        <v>592</v>
      </c>
      <c r="C977" s="294" t="s">
        <v>350</v>
      </c>
      <c r="D977" s="295" t="s">
        <v>1055</v>
      </c>
      <c r="E977" s="296">
        <v>4</v>
      </c>
      <c r="F977" s="294">
        <v>14</v>
      </c>
      <c r="G977" s="308">
        <f t="shared" si="147"/>
        <v>14.510585409999999</v>
      </c>
      <c r="H977" s="294">
        <v>143.69999999999999</v>
      </c>
      <c r="I977" s="297"/>
      <c r="J977" s="297"/>
      <c r="K977" s="294">
        <f t="shared" si="142"/>
        <v>2.1640000000000001</v>
      </c>
      <c r="L977" s="294">
        <f t="shared" si="143"/>
        <v>0.60568633538959626</v>
      </c>
      <c r="M977" s="309">
        <f t="shared" si="151"/>
        <v>3.6718452473547791</v>
      </c>
      <c r="N977" s="294">
        <v>0</v>
      </c>
      <c r="O977" s="294" t="str">
        <f t="shared" si="149"/>
        <v/>
      </c>
      <c r="P977" s="294"/>
    </row>
    <row r="978" spans="1:16">
      <c r="A978" s="294"/>
      <c r="B978" s="294" t="s">
        <v>592</v>
      </c>
      <c r="C978" s="294" t="s">
        <v>350</v>
      </c>
      <c r="D978" s="295" t="s">
        <v>1055</v>
      </c>
      <c r="E978" s="296">
        <v>5</v>
      </c>
      <c r="F978" s="294">
        <v>19.5</v>
      </c>
      <c r="G978" s="308">
        <f t="shared" si="147"/>
        <v>20.43281172</v>
      </c>
      <c r="H978" s="294">
        <v>234.4</v>
      </c>
      <c r="I978" s="297"/>
      <c r="J978" s="297"/>
      <c r="K978" s="294">
        <f t="shared" si="142"/>
        <v>2.032</v>
      </c>
      <c r="L978" s="294">
        <f t="shared" si="143"/>
        <v>0.67515667435506088</v>
      </c>
      <c r="M978" s="309">
        <f t="shared" si="151"/>
        <v>6.0639966810731893</v>
      </c>
      <c r="N978" s="294">
        <v>0</v>
      </c>
      <c r="O978" s="294" t="str">
        <f t="shared" si="149"/>
        <v/>
      </c>
      <c r="P978" s="294"/>
    </row>
    <row r="979" spans="1:16">
      <c r="A979" s="294"/>
      <c r="B979" s="294" t="s">
        <v>592</v>
      </c>
      <c r="C979" s="294" t="s">
        <v>350</v>
      </c>
      <c r="D979" s="295" t="s">
        <v>1055</v>
      </c>
      <c r="E979" s="296">
        <v>6</v>
      </c>
      <c r="F979" s="294">
        <v>21.2</v>
      </c>
      <c r="G979" s="308">
        <f t="shared" si="147"/>
        <v>14.66272994</v>
      </c>
      <c r="H979" s="294">
        <v>105.8</v>
      </c>
      <c r="I979" s="297"/>
      <c r="J979" s="297"/>
      <c r="K979" s="294">
        <f t="shared" si="142"/>
        <v>1.9912000000000001</v>
      </c>
      <c r="L979" s="294">
        <f t="shared" si="143"/>
        <v>0.69489543911089335</v>
      </c>
      <c r="M979" s="309">
        <f t="shared" si="151"/>
        <v>4.5976502955572478</v>
      </c>
      <c r="N979" s="294">
        <v>0</v>
      </c>
      <c r="O979" s="294" t="str">
        <f t="shared" si="149"/>
        <v/>
      </c>
      <c r="P979" s="294"/>
    </row>
    <row r="980" spans="1:16">
      <c r="A980" s="294"/>
      <c r="B980" s="294" t="s">
        <v>592</v>
      </c>
      <c r="C980" s="294" t="s">
        <v>350</v>
      </c>
      <c r="D980" s="295" t="s">
        <v>1055</v>
      </c>
      <c r="E980" s="296">
        <v>7</v>
      </c>
      <c r="F980" s="294">
        <v>25.6</v>
      </c>
      <c r="G980" s="308">
        <f t="shared" si="147"/>
        <v>16.26485014</v>
      </c>
      <c r="H980" s="294">
        <v>149.80000000000001</v>
      </c>
      <c r="I980" s="297"/>
      <c r="J980" s="297"/>
      <c r="K980" s="294">
        <f t="shared" si="142"/>
        <v>1.8855999999999999</v>
      </c>
      <c r="L980" s="294">
        <f t="shared" si="143"/>
        <v>0.74169310776479802</v>
      </c>
      <c r="M980" s="309">
        <f t="shared" si="151"/>
        <v>5.7207941218723359</v>
      </c>
      <c r="N980" s="294">
        <v>1</v>
      </c>
      <c r="O980" s="294">
        <f t="shared" si="149"/>
        <v>5.7207941218723359</v>
      </c>
      <c r="P980" s="294"/>
    </row>
    <row r="981" spans="1:16">
      <c r="A981" s="294"/>
      <c r="B981" s="294" t="s">
        <v>592</v>
      </c>
      <c r="C981" s="294" t="s">
        <v>350</v>
      </c>
      <c r="D981" s="295" t="s">
        <v>1055</v>
      </c>
      <c r="E981" s="296">
        <v>8</v>
      </c>
      <c r="F981" s="294">
        <v>26.7</v>
      </c>
      <c r="G981" s="308">
        <f t="shared" si="147"/>
        <v>16.141182910000001</v>
      </c>
      <c r="H981" s="294">
        <v>163.69999999999999</v>
      </c>
      <c r="I981" s="297"/>
      <c r="J981" s="297"/>
      <c r="K981" s="294">
        <f t="shared" si="142"/>
        <v>1.8592</v>
      </c>
      <c r="L981" s="294">
        <f t="shared" si="143"/>
        <v>0.75239240916315608</v>
      </c>
      <c r="M981" s="309">
        <f t="shared" si="151"/>
        <v>5.8386626324984414</v>
      </c>
      <c r="N981" s="294">
        <v>1</v>
      </c>
      <c r="O981" s="294">
        <f t="shared" si="149"/>
        <v>5.8386626324984414</v>
      </c>
      <c r="P981" s="294"/>
    </row>
    <row r="982" spans="1:16">
      <c r="A982" s="294"/>
      <c r="B982" s="294" t="s">
        <v>592</v>
      </c>
      <c r="C982" s="294" t="s">
        <v>350</v>
      </c>
      <c r="D982" s="295" t="s">
        <v>1055</v>
      </c>
      <c r="E982" s="296">
        <v>9</v>
      </c>
      <c r="F982" s="294">
        <v>21.4</v>
      </c>
      <c r="G982" s="308">
        <f t="shared" ref="G982:G1009" si="152">$T$11+$T$12*H982+INDEX($T$13:$T$24,MATCH(E982,$S$13:$S$24,0),1)</f>
        <v>12.814613619999999</v>
      </c>
      <c r="H982" s="294">
        <v>129.4</v>
      </c>
      <c r="I982" s="297"/>
      <c r="J982" s="297"/>
      <c r="K982" s="294">
        <f t="shared" si="142"/>
        <v>1.9864000000000002</v>
      </c>
      <c r="L982" s="294">
        <f t="shared" si="143"/>
        <v>0.69715862454510524</v>
      </c>
      <c r="M982" s="309">
        <f t="shared" si="151"/>
        <v>4.0543006149478664</v>
      </c>
      <c r="N982" s="294">
        <v>0</v>
      </c>
      <c r="O982" s="294" t="str">
        <f t="shared" si="149"/>
        <v/>
      </c>
      <c r="P982" s="294"/>
    </row>
    <row r="983" spans="1:16">
      <c r="A983" s="294"/>
      <c r="B983" s="294" t="s">
        <v>592</v>
      </c>
      <c r="C983" s="294" t="s">
        <v>350</v>
      </c>
      <c r="D983" s="295" t="s">
        <v>1055</v>
      </c>
      <c r="E983" s="296">
        <v>10</v>
      </c>
      <c r="F983" s="294">
        <v>16</v>
      </c>
      <c r="G983" s="308">
        <f t="shared" si="152"/>
        <v>13.327522440000003</v>
      </c>
      <c r="H983" s="294">
        <v>206.8</v>
      </c>
      <c r="I983" s="297"/>
      <c r="J983" s="297"/>
      <c r="K983" s="294">
        <f t="shared" si="142"/>
        <v>2.1160000000000001</v>
      </c>
      <c r="L983" s="294">
        <f t="shared" si="143"/>
        <v>0.63185951626122749</v>
      </c>
      <c r="M983" s="309">
        <f t="shared" si="151"/>
        <v>3.6002286816755542</v>
      </c>
      <c r="N983" s="294">
        <v>0</v>
      </c>
      <c r="O983" s="294" t="str">
        <f t="shared" si="149"/>
        <v/>
      </c>
      <c r="P983" s="294"/>
    </row>
    <row r="984" spans="1:16">
      <c r="A984" s="294"/>
      <c r="B984" s="294" t="s">
        <v>592</v>
      </c>
      <c r="C984" s="294" t="s">
        <v>350</v>
      </c>
      <c r="D984" s="295" t="s">
        <v>1055</v>
      </c>
      <c r="E984" s="296">
        <v>11</v>
      </c>
      <c r="F984" s="294">
        <v>12.6</v>
      </c>
      <c r="G984" s="308">
        <f t="shared" si="152"/>
        <v>6.9953972399999991</v>
      </c>
      <c r="H984" s="294">
        <v>96.8</v>
      </c>
      <c r="I984" s="297"/>
      <c r="J984" s="297"/>
      <c r="K984" s="294">
        <f t="shared" si="142"/>
        <v>2.1976</v>
      </c>
      <c r="L984" s="294">
        <f t="shared" si="143"/>
        <v>0.58683640404243798</v>
      </c>
      <c r="M984" s="309">
        <f t="shared" si="151"/>
        <v>1.7482507501574833</v>
      </c>
      <c r="N984" s="294">
        <v>0</v>
      </c>
      <c r="O984" s="294" t="str">
        <f t="shared" si="149"/>
        <v/>
      </c>
      <c r="P984" s="294"/>
    </row>
    <row r="985" spans="1:16">
      <c r="A985" s="294"/>
      <c r="B985" s="294" t="s">
        <v>592</v>
      </c>
      <c r="C985" s="294" t="s">
        <v>350</v>
      </c>
      <c r="D985" s="295" t="s">
        <v>1055</v>
      </c>
      <c r="E985" s="296">
        <v>12</v>
      </c>
      <c r="F985" s="294">
        <v>7.5</v>
      </c>
      <c r="G985" s="308">
        <f t="shared" si="152"/>
        <v>7.1613889099999986</v>
      </c>
      <c r="H985" s="294">
        <v>128.69999999999999</v>
      </c>
      <c r="I985" s="297"/>
      <c r="J985" s="297"/>
      <c r="K985" s="294">
        <f t="shared" si="142"/>
        <v>2.3199999999999998</v>
      </c>
      <c r="L985" s="294">
        <f t="shared" si="143"/>
        <v>0.51546248616696222</v>
      </c>
      <c r="M985" s="309">
        <f t="shared" si="151"/>
        <v>1.505423176778615</v>
      </c>
      <c r="N985" s="294">
        <v>0</v>
      </c>
      <c r="O985" s="294" t="str">
        <f t="shared" si="149"/>
        <v/>
      </c>
      <c r="P985" s="294"/>
    </row>
    <row r="986" spans="1:16">
      <c r="A986" s="294">
        <v>83</v>
      </c>
      <c r="B986" s="294" t="s">
        <v>592</v>
      </c>
      <c r="C986" s="294" t="s">
        <v>352</v>
      </c>
      <c r="D986" s="295" t="s">
        <v>1055</v>
      </c>
      <c r="E986" s="296">
        <v>1</v>
      </c>
      <c r="F986" s="294">
        <v>4.5</v>
      </c>
      <c r="G986" s="308">
        <f t="shared" si="152"/>
        <v>7.6440700000000001</v>
      </c>
      <c r="H986" s="294">
        <v>124</v>
      </c>
      <c r="I986" s="306">
        <v>0.85899999999999999</v>
      </c>
      <c r="J986" s="307">
        <v>0.49</v>
      </c>
      <c r="K986" s="294">
        <f t="shared" si="142"/>
        <v>2.3919999999999999</v>
      </c>
      <c r="L986" s="294">
        <f t="shared" si="143"/>
        <v>0.47240910985268092</v>
      </c>
      <c r="M986" s="309">
        <f>$I$986*L986*(G986/K986)+$J$986</f>
        <v>1.7868056912366261</v>
      </c>
      <c r="N986" s="294">
        <v>0</v>
      </c>
      <c r="O986" s="294" t="str">
        <f t="shared" si="149"/>
        <v/>
      </c>
      <c r="P986" s="294">
        <f>AVERAGE(O986:O997)</f>
        <v>6.005398392353797</v>
      </c>
    </row>
    <row r="987" spans="1:16">
      <c r="A987" s="294"/>
      <c r="B987" s="294" t="s">
        <v>592</v>
      </c>
      <c r="C987" s="294" t="s">
        <v>352</v>
      </c>
      <c r="D987" s="295" t="s">
        <v>1055</v>
      </c>
      <c r="E987" s="296">
        <v>2</v>
      </c>
      <c r="F987" s="294">
        <v>5.0999999999999996</v>
      </c>
      <c r="G987" s="308">
        <f t="shared" si="152"/>
        <v>11.347955059999999</v>
      </c>
      <c r="H987" s="294">
        <v>152.19999999999999</v>
      </c>
      <c r="I987" s="297"/>
      <c r="J987" s="297"/>
      <c r="K987" s="294">
        <f t="shared" si="142"/>
        <v>2.3776000000000002</v>
      </c>
      <c r="L987" s="294">
        <f t="shared" si="143"/>
        <v>0.48103743439846536</v>
      </c>
      <c r="M987" s="309">
        <f t="shared" ref="M987:M997" si="153">$I$986*L987*(G987/K987)+$J$986</f>
        <v>2.4621995416644276</v>
      </c>
      <c r="N987" s="294">
        <v>0</v>
      </c>
      <c r="O987" s="294" t="str">
        <f t="shared" si="149"/>
        <v/>
      </c>
      <c r="P987" s="294"/>
    </row>
    <row r="988" spans="1:16">
      <c r="A988" s="294"/>
      <c r="B988" s="294" t="s">
        <v>592</v>
      </c>
      <c r="C988" s="294" t="s">
        <v>352</v>
      </c>
      <c r="D988" s="295" t="s">
        <v>1055</v>
      </c>
      <c r="E988" s="296">
        <v>3</v>
      </c>
      <c r="F988" s="294">
        <v>8.6999999999999993</v>
      </c>
      <c r="G988" s="308">
        <f t="shared" si="152"/>
        <v>14.28694307</v>
      </c>
      <c r="H988" s="294">
        <v>180.9</v>
      </c>
      <c r="I988" s="297"/>
      <c r="J988" s="297"/>
      <c r="K988" s="294">
        <f t="shared" si="142"/>
        <v>2.2911999999999999</v>
      </c>
      <c r="L988" s="294">
        <f t="shared" si="143"/>
        <v>0.53254372569577879</v>
      </c>
      <c r="M988" s="309">
        <f t="shared" si="153"/>
        <v>3.3424940662656279</v>
      </c>
      <c r="N988" s="294">
        <v>0</v>
      </c>
      <c r="O988" s="294" t="str">
        <f t="shared" si="149"/>
        <v/>
      </c>
      <c r="P988" s="294"/>
    </row>
    <row r="989" spans="1:16">
      <c r="A989" s="294"/>
      <c r="B989" s="294" t="s">
        <v>592</v>
      </c>
      <c r="C989" s="294" t="s">
        <v>352</v>
      </c>
      <c r="D989" s="295" t="s">
        <v>1055</v>
      </c>
      <c r="E989" s="296">
        <v>4</v>
      </c>
      <c r="F989" s="294">
        <v>14.1</v>
      </c>
      <c r="G989" s="308">
        <f t="shared" si="152"/>
        <v>14.66535103</v>
      </c>
      <c r="H989" s="294">
        <v>147.1</v>
      </c>
      <c r="I989" s="297"/>
      <c r="J989" s="297"/>
      <c r="K989" s="294">
        <f t="shared" si="142"/>
        <v>2.1616</v>
      </c>
      <c r="L989" s="294">
        <f t="shared" si="143"/>
        <v>0.60701698364649326</v>
      </c>
      <c r="M989" s="309">
        <f t="shared" si="153"/>
        <v>4.0276196468877599</v>
      </c>
      <c r="N989" s="294">
        <v>0</v>
      </c>
      <c r="O989" s="294" t="str">
        <f t="shared" si="149"/>
        <v/>
      </c>
      <c r="P989" s="294"/>
    </row>
    <row r="990" spans="1:16">
      <c r="A990" s="294"/>
      <c r="B990" s="294" t="s">
        <v>592</v>
      </c>
      <c r="C990" s="294" t="s">
        <v>352</v>
      </c>
      <c r="D990" s="295" t="s">
        <v>1055</v>
      </c>
      <c r="E990" s="296">
        <v>5</v>
      </c>
      <c r="F990" s="294">
        <v>19.7</v>
      </c>
      <c r="G990" s="308">
        <f t="shared" si="152"/>
        <v>20.200663290000001</v>
      </c>
      <c r="H990" s="294">
        <v>229.3</v>
      </c>
      <c r="I990" s="297"/>
      <c r="J990" s="297"/>
      <c r="K990" s="294">
        <f t="shared" si="142"/>
        <v>2.0272000000000001</v>
      </c>
      <c r="L990" s="294">
        <f t="shared" si="143"/>
        <v>0.67752473134026181</v>
      </c>
      <c r="M990" s="309">
        <f t="shared" si="153"/>
        <v>6.2894572138420282</v>
      </c>
      <c r="N990" s="294">
        <v>0</v>
      </c>
      <c r="O990" s="294" t="str">
        <f t="shared" si="149"/>
        <v/>
      </c>
      <c r="P990" s="294"/>
    </row>
    <row r="991" spans="1:16">
      <c r="A991" s="294"/>
      <c r="B991" s="294" t="s">
        <v>592</v>
      </c>
      <c r="C991" s="294" t="s">
        <v>352</v>
      </c>
      <c r="D991" s="295" t="s">
        <v>1055</v>
      </c>
      <c r="E991" s="296">
        <v>6</v>
      </c>
      <c r="F991" s="294">
        <v>20.9</v>
      </c>
      <c r="G991" s="308">
        <f t="shared" si="152"/>
        <v>14.40782186</v>
      </c>
      <c r="H991" s="294">
        <v>100.2</v>
      </c>
      <c r="I991" s="297"/>
      <c r="J991" s="297"/>
      <c r="K991" s="294">
        <f t="shared" si="142"/>
        <v>1.9984000000000002</v>
      </c>
      <c r="L991" s="294">
        <f t="shared" si="143"/>
        <v>0.69147707180847306</v>
      </c>
      <c r="M991" s="309">
        <f t="shared" si="153"/>
        <v>4.7723963203038879</v>
      </c>
      <c r="N991" s="294">
        <v>0</v>
      </c>
      <c r="O991" s="294" t="str">
        <f t="shared" si="149"/>
        <v/>
      </c>
      <c r="P991" s="294"/>
    </row>
    <row r="992" spans="1:16">
      <c r="A992" s="294"/>
      <c r="B992" s="294" t="s">
        <v>592</v>
      </c>
      <c r="C992" s="294" t="s">
        <v>352</v>
      </c>
      <c r="D992" s="295" t="s">
        <v>1055</v>
      </c>
      <c r="E992" s="296">
        <v>7</v>
      </c>
      <c r="F992" s="294">
        <v>25.4</v>
      </c>
      <c r="G992" s="308">
        <f t="shared" si="152"/>
        <v>15.349912209999999</v>
      </c>
      <c r="H992" s="294">
        <v>129.69999999999999</v>
      </c>
      <c r="I992" s="297"/>
      <c r="J992" s="297"/>
      <c r="K992" s="294">
        <f t="shared" si="142"/>
        <v>1.8904000000000001</v>
      </c>
      <c r="L992" s="294">
        <f t="shared" si="143"/>
        <v>0.73970436015123497</v>
      </c>
      <c r="M992" s="309">
        <f t="shared" si="153"/>
        <v>5.6494514463242744</v>
      </c>
      <c r="N992" s="294">
        <v>1</v>
      </c>
      <c r="O992" s="294">
        <f t="shared" si="149"/>
        <v>5.6494514463242744</v>
      </c>
      <c r="P992" s="294"/>
    </row>
    <row r="993" spans="1:16">
      <c r="A993" s="294"/>
      <c r="B993" s="294" t="s">
        <v>592</v>
      </c>
      <c r="C993" s="294" t="s">
        <v>352</v>
      </c>
      <c r="D993" s="295" t="s">
        <v>1055</v>
      </c>
      <c r="E993" s="296">
        <v>8</v>
      </c>
      <c r="F993" s="294">
        <v>26.8</v>
      </c>
      <c r="G993" s="308">
        <f t="shared" si="152"/>
        <v>16.846732060000001</v>
      </c>
      <c r="H993" s="294">
        <v>179.2</v>
      </c>
      <c r="I993" s="297"/>
      <c r="J993" s="297"/>
      <c r="K993" s="294">
        <f t="shared" si="142"/>
        <v>1.8568</v>
      </c>
      <c r="L993" s="294">
        <f t="shared" si="143"/>
        <v>0.75334501747293869</v>
      </c>
      <c r="M993" s="309">
        <f t="shared" si="153"/>
        <v>6.3613453383833196</v>
      </c>
      <c r="N993" s="294">
        <v>1</v>
      </c>
      <c r="O993" s="294">
        <f t="shared" si="149"/>
        <v>6.3613453383833196</v>
      </c>
      <c r="P993" s="294"/>
    </row>
    <row r="994" spans="1:16">
      <c r="A994" s="294"/>
      <c r="B994" s="294" t="s">
        <v>592</v>
      </c>
      <c r="C994" s="294" t="s">
        <v>352</v>
      </c>
      <c r="D994" s="295" t="s">
        <v>1055</v>
      </c>
      <c r="E994" s="296">
        <v>9</v>
      </c>
      <c r="F994" s="294">
        <v>21.8</v>
      </c>
      <c r="G994" s="308">
        <f t="shared" si="152"/>
        <v>14.066394369999999</v>
      </c>
      <c r="H994" s="294">
        <v>156.9</v>
      </c>
      <c r="I994" s="297"/>
      <c r="J994" s="297"/>
      <c r="K994" s="294">
        <f t="shared" si="142"/>
        <v>1.9767999999999999</v>
      </c>
      <c r="L994" s="294">
        <f t="shared" si="143"/>
        <v>0.70164698620294608</v>
      </c>
      <c r="M994" s="309">
        <f t="shared" si="153"/>
        <v>4.7787613936325242</v>
      </c>
      <c r="N994" s="294">
        <v>0</v>
      </c>
      <c r="O994" s="294" t="str">
        <f t="shared" si="149"/>
        <v/>
      </c>
      <c r="P994" s="294"/>
    </row>
    <row r="995" spans="1:16">
      <c r="A995" s="294"/>
      <c r="B995" s="294" t="s">
        <v>592</v>
      </c>
      <c r="C995" s="294" t="s">
        <v>352</v>
      </c>
      <c r="D995" s="295" t="s">
        <v>1055</v>
      </c>
      <c r="E995" s="296">
        <v>10</v>
      </c>
      <c r="F995" s="294">
        <v>16.899999999999999</v>
      </c>
      <c r="G995" s="308">
        <f t="shared" si="152"/>
        <v>14.001208079999998</v>
      </c>
      <c r="H995" s="294">
        <v>221.6</v>
      </c>
      <c r="I995" s="297"/>
      <c r="J995" s="297"/>
      <c r="K995" s="294">
        <f t="shared" si="142"/>
        <v>2.0944000000000003</v>
      </c>
      <c r="L995" s="294">
        <f t="shared" si="143"/>
        <v>0.64331460843064392</v>
      </c>
      <c r="M995" s="309">
        <f t="shared" si="153"/>
        <v>4.1842174726660906</v>
      </c>
      <c r="N995" s="294">
        <v>0</v>
      </c>
      <c r="O995" s="294" t="str">
        <f t="shared" si="149"/>
        <v/>
      </c>
      <c r="P995" s="294"/>
    </row>
    <row r="996" spans="1:16">
      <c r="A996" s="294"/>
      <c r="B996" s="294" t="s">
        <v>592</v>
      </c>
      <c r="C996" s="294" t="s">
        <v>352</v>
      </c>
      <c r="D996" s="295" t="s">
        <v>1055</v>
      </c>
      <c r="E996" s="296">
        <v>11</v>
      </c>
      <c r="F996" s="294">
        <v>13.4</v>
      </c>
      <c r="G996" s="308">
        <f t="shared" si="152"/>
        <v>8.2107625499999983</v>
      </c>
      <c r="H996" s="294">
        <v>123.5</v>
      </c>
      <c r="I996" s="297"/>
      <c r="J996" s="297"/>
      <c r="K996" s="294">
        <f t="shared" si="142"/>
        <v>2.1783999999999999</v>
      </c>
      <c r="L996" s="294">
        <f t="shared" si="143"/>
        <v>0.59765717915425864</v>
      </c>
      <c r="M996" s="309">
        <f t="shared" si="153"/>
        <v>2.4250454449810448</v>
      </c>
      <c r="N996" s="294">
        <v>0</v>
      </c>
      <c r="O996" s="294" t="str">
        <f t="shared" si="149"/>
        <v/>
      </c>
      <c r="P996" s="294"/>
    </row>
    <row r="997" spans="1:16">
      <c r="A997" s="294"/>
      <c r="B997" s="294" t="s">
        <v>592</v>
      </c>
      <c r="C997" s="294" t="s">
        <v>352</v>
      </c>
      <c r="D997" s="295" t="s">
        <v>1055</v>
      </c>
      <c r="E997" s="296">
        <v>12</v>
      </c>
      <c r="F997" s="294">
        <v>8.6</v>
      </c>
      <c r="G997" s="308">
        <f t="shared" si="152"/>
        <v>8.1491577200000016</v>
      </c>
      <c r="H997" s="294">
        <v>150.4</v>
      </c>
      <c r="I997" s="297"/>
      <c r="J997" s="297"/>
      <c r="K997" s="294">
        <f t="shared" si="142"/>
        <v>2.2936000000000001</v>
      </c>
      <c r="L997" s="294">
        <f t="shared" si="143"/>
        <v>0.53112526804205062</v>
      </c>
      <c r="M997" s="309">
        <f t="shared" si="153"/>
        <v>2.1110080457814453</v>
      </c>
      <c r="N997" s="294">
        <v>0</v>
      </c>
      <c r="O997" s="294" t="str">
        <f t="shared" si="149"/>
        <v/>
      </c>
      <c r="P997" s="294"/>
    </row>
    <row r="998" spans="1:16">
      <c r="A998" s="294">
        <v>84</v>
      </c>
      <c r="B998" s="294" t="s">
        <v>592</v>
      </c>
      <c r="C998" s="294" t="s">
        <v>594</v>
      </c>
      <c r="D998" s="295" t="s">
        <v>1055</v>
      </c>
      <c r="E998" s="296">
        <v>1</v>
      </c>
      <c r="F998" s="294">
        <v>6.7</v>
      </c>
      <c r="G998" s="308">
        <f t="shared" si="152"/>
        <v>9.93369079</v>
      </c>
      <c r="H998" s="294">
        <v>174.3</v>
      </c>
      <c r="I998" s="306">
        <v>0.77400000000000002</v>
      </c>
      <c r="J998" s="307">
        <v>0.43</v>
      </c>
      <c r="K998" s="294">
        <f t="shared" si="142"/>
        <v>2.3391999999999999</v>
      </c>
      <c r="L998" s="294">
        <f t="shared" si="143"/>
        <v>0.50401539269658691</v>
      </c>
      <c r="M998" s="309">
        <f>$I$998*L998*(G998/K998)+$J$998</f>
        <v>2.0866396169130468</v>
      </c>
      <c r="N998" s="294">
        <v>0</v>
      </c>
      <c r="O998" s="294" t="str">
        <f t="shared" si="149"/>
        <v/>
      </c>
      <c r="P998" s="294">
        <f>AVERAGE(O998:O1009)</f>
        <v>5.30723561859703</v>
      </c>
    </row>
    <row r="999" spans="1:16">
      <c r="A999" s="294"/>
      <c r="B999" s="294" t="s">
        <v>592</v>
      </c>
      <c r="C999" s="294" t="s">
        <v>594</v>
      </c>
      <c r="D999" s="295" t="s">
        <v>1055</v>
      </c>
      <c r="E999" s="296">
        <v>2</v>
      </c>
      <c r="F999" s="294">
        <v>7.4</v>
      </c>
      <c r="G999" s="308">
        <f t="shared" si="152"/>
        <v>12.954786350000001</v>
      </c>
      <c r="H999" s="294">
        <v>187.5</v>
      </c>
      <c r="I999" s="297"/>
      <c r="J999" s="297"/>
      <c r="K999" s="294">
        <f t="shared" si="142"/>
        <v>2.3224</v>
      </c>
      <c r="L999" s="294">
        <f t="shared" si="143"/>
        <v>0.51403382065240233</v>
      </c>
      <c r="M999" s="309">
        <f t="shared" ref="M999:M1009" si="154">$I$998*L999*(G999/K999)+$J$998</f>
        <v>2.6493504573617783</v>
      </c>
      <c r="N999" s="294">
        <v>0</v>
      </c>
      <c r="O999" s="294" t="str">
        <f t="shared" si="149"/>
        <v/>
      </c>
      <c r="P999" s="294"/>
    </row>
    <row r="1000" spans="1:16">
      <c r="A1000" s="294"/>
      <c r="B1000" s="294" t="s">
        <v>592</v>
      </c>
      <c r="C1000" s="294" t="s">
        <v>594</v>
      </c>
      <c r="D1000" s="295" t="s">
        <v>1055</v>
      </c>
      <c r="E1000" s="296">
        <v>3</v>
      </c>
      <c r="F1000" s="294">
        <v>10.5</v>
      </c>
      <c r="G1000" s="308">
        <f t="shared" si="152"/>
        <v>14.69206484</v>
      </c>
      <c r="H1000" s="294">
        <v>189.8</v>
      </c>
      <c r="I1000" s="297"/>
      <c r="J1000" s="297"/>
      <c r="K1000" s="294">
        <f t="shared" si="142"/>
        <v>2.2480000000000002</v>
      </c>
      <c r="L1000" s="294">
        <f t="shared" si="143"/>
        <v>0.55787898239898637</v>
      </c>
      <c r="M1000" s="309">
        <f t="shared" si="154"/>
        <v>3.2520681036850734</v>
      </c>
      <c r="N1000" s="294">
        <v>0</v>
      </c>
      <c r="O1000" s="294" t="str">
        <f t="shared" si="149"/>
        <v/>
      </c>
      <c r="P1000" s="294"/>
    </row>
    <row r="1001" spans="1:16">
      <c r="A1001" s="294"/>
      <c r="B1001" s="294" t="s">
        <v>592</v>
      </c>
      <c r="C1001" s="294" t="s">
        <v>594</v>
      </c>
      <c r="D1001" s="295" t="s">
        <v>1055</v>
      </c>
      <c r="E1001" s="296">
        <v>4</v>
      </c>
      <c r="F1001" s="294">
        <v>15.5</v>
      </c>
      <c r="G1001" s="308">
        <f t="shared" si="152"/>
        <v>14.08725592</v>
      </c>
      <c r="H1001" s="294">
        <v>134.4</v>
      </c>
      <c r="I1001" s="297"/>
      <c r="J1001" s="297"/>
      <c r="K1001" s="294">
        <f t="shared" si="142"/>
        <v>2.1280000000000001</v>
      </c>
      <c r="L1001" s="294">
        <f t="shared" si="143"/>
        <v>0.62540609843700268</v>
      </c>
      <c r="M1001" s="309">
        <f t="shared" si="154"/>
        <v>3.6344821241826764</v>
      </c>
      <c r="N1001" s="294">
        <v>0</v>
      </c>
      <c r="O1001" s="294" t="str">
        <f t="shared" si="149"/>
        <v/>
      </c>
      <c r="P1001" s="294"/>
    </row>
    <row r="1002" spans="1:16">
      <c r="A1002" s="294"/>
      <c r="B1002" s="294" t="s">
        <v>592</v>
      </c>
      <c r="C1002" s="294" t="s">
        <v>594</v>
      </c>
      <c r="D1002" s="295" t="s">
        <v>1055</v>
      </c>
      <c r="E1002" s="296">
        <v>5</v>
      </c>
      <c r="F1002" s="294">
        <v>19.7</v>
      </c>
      <c r="G1002" s="308">
        <f t="shared" si="152"/>
        <v>19.140063600000001</v>
      </c>
      <c r="H1002" s="294">
        <v>206</v>
      </c>
      <c r="I1002" s="297"/>
      <c r="J1002" s="297"/>
      <c r="K1002" s="294">
        <f t="shared" si="142"/>
        <v>2.0272000000000001</v>
      </c>
      <c r="L1002" s="294">
        <f t="shared" si="143"/>
        <v>0.67752473134026181</v>
      </c>
      <c r="M1002" s="309">
        <f t="shared" si="154"/>
        <v>5.3812276199099029</v>
      </c>
      <c r="N1002" s="294">
        <v>0</v>
      </c>
      <c r="O1002" s="294" t="str">
        <f t="shared" si="149"/>
        <v/>
      </c>
      <c r="P1002" s="294"/>
    </row>
    <row r="1003" spans="1:16">
      <c r="A1003" s="294"/>
      <c r="B1003" s="294" t="s">
        <v>592</v>
      </c>
      <c r="C1003" s="294" t="s">
        <v>594</v>
      </c>
      <c r="D1003" s="295" t="s">
        <v>1055</v>
      </c>
      <c r="E1003" s="296">
        <v>6</v>
      </c>
      <c r="F1003" s="294">
        <v>20.8</v>
      </c>
      <c r="G1003" s="308">
        <f t="shared" si="152"/>
        <v>13.265287430000001</v>
      </c>
      <c r="H1003" s="294">
        <v>75.099999999999994</v>
      </c>
      <c r="I1003" s="297"/>
      <c r="J1003" s="297"/>
      <c r="K1003" s="294">
        <f t="shared" si="142"/>
        <v>2.0007999999999999</v>
      </c>
      <c r="L1003" s="294">
        <f t="shared" si="143"/>
        <v>0.69033135678862079</v>
      </c>
      <c r="M1003" s="309">
        <f t="shared" si="154"/>
        <v>3.9725137720816845</v>
      </c>
      <c r="N1003" s="294">
        <v>0</v>
      </c>
      <c r="O1003" s="294" t="str">
        <f t="shared" si="149"/>
        <v/>
      </c>
      <c r="P1003" s="294"/>
    </row>
    <row r="1004" spans="1:16">
      <c r="A1004" s="294"/>
      <c r="B1004" s="294" t="s">
        <v>592</v>
      </c>
      <c r="C1004" s="294" t="s">
        <v>594</v>
      </c>
      <c r="D1004" s="295" t="s">
        <v>1055</v>
      </c>
      <c r="E1004" s="296">
        <v>7</v>
      </c>
      <c r="F1004" s="294">
        <v>25.1</v>
      </c>
      <c r="G1004" s="308">
        <f t="shared" si="152"/>
        <v>15.536541340000001</v>
      </c>
      <c r="H1004" s="294">
        <v>133.80000000000001</v>
      </c>
      <c r="I1004" s="297"/>
      <c r="J1004" s="297"/>
      <c r="K1004" s="294">
        <f t="shared" si="142"/>
        <v>1.8976</v>
      </c>
      <c r="L1004" s="294">
        <f t="shared" si="143"/>
        <v>0.73669623234985304</v>
      </c>
      <c r="M1004" s="309">
        <f t="shared" si="154"/>
        <v>5.0985184849012022</v>
      </c>
      <c r="N1004" s="294">
        <v>1</v>
      </c>
      <c r="O1004" s="294">
        <f t="shared" si="149"/>
        <v>5.0985184849012022</v>
      </c>
      <c r="P1004" s="294"/>
    </row>
    <row r="1005" spans="1:16">
      <c r="A1005" s="294"/>
      <c r="B1005" s="294" t="s">
        <v>592</v>
      </c>
      <c r="C1005" s="294" t="s">
        <v>594</v>
      </c>
      <c r="D1005" s="295" t="s">
        <v>1055</v>
      </c>
      <c r="E1005" s="296">
        <v>8</v>
      </c>
      <c r="F1005" s="294">
        <v>26.8</v>
      </c>
      <c r="G1005" s="308">
        <f t="shared" si="152"/>
        <v>16.19580607</v>
      </c>
      <c r="H1005" s="294">
        <v>164.9</v>
      </c>
      <c r="I1005" s="297"/>
      <c r="J1005" s="297"/>
      <c r="K1005" s="294">
        <f t="shared" si="142"/>
        <v>1.8568</v>
      </c>
      <c r="L1005" s="294">
        <f t="shared" si="143"/>
        <v>0.75334501747293869</v>
      </c>
      <c r="M1005" s="309">
        <f t="shared" si="154"/>
        <v>5.5159527522928569</v>
      </c>
      <c r="N1005" s="294">
        <v>1</v>
      </c>
      <c r="O1005" s="294">
        <f t="shared" si="149"/>
        <v>5.5159527522928569</v>
      </c>
      <c r="P1005" s="294"/>
    </row>
    <row r="1006" spans="1:16">
      <c r="A1006" s="294"/>
      <c r="B1006" s="294" t="s">
        <v>592</v>
      </c>
      <c r="C1006" s="294" t="s">
        <v>594</v>
      </c>
      <c r="D1006" s="295" t="s">
        <v>1055</v>
      </c>
      <c r="E1006" s="296">
        <v>9</v>
      </c>
      <c r="F1006" s="294">
        <v>22.5</v>
      </c>
      <c r="G1006" s="308">
        <f t="shared" si="152"/>
        <v>13.192423809999999</v>
      </c>
      <c r="H1006" s="294">
        <v>137.69999999999999</v>
      </c>
      <c r="I1006" s="297"/>
      <c r="J1006" s="297"/>
      <c r="K1006" s="294">
        <f t="shared" si="142"/>
        <v>1.96</v>
      </c>
      <c r="L1006" s="294">
        <f t="shared" si="143"/>
        <v>0.70937854133350386</v>
      </c>
      <c r="M1006" s="309">
        <f t="shared" si="154"/>
        <v>4.1256218907444779</v>
      </c>
      <c r="N1006" s="294">
        <v>0</v>
      </c>
      <c r="O1006" s="294" t="str">
        <f t="shared" si="149"/>
        <v/>
      </c>
      <c r="P1006" s="294"/>
    </row>
    <row r="1007" spans="1:16">
      <c r="A1007" s="294"/>
      <c r="B1007" s="294" t="s">
        <v>592</v>
      </c>
      <c r="C1007" s="294" t="s">
        <v>594</v>
      </c>
      <c r="D1007" s="295" t="s">
        <v>1055</v>
      </c>
      <c r="E1007" s="296">
        <v>10</v>
      </c>
      <c r="F1007" s="294">
        <v>18.5</v>
      </c>
      <c r="G1007" s="308">
        <f t="shared" si="152"/>
        <v>13.200068399999999</v>
      </c>
      <c r="H1007" s="294">
        <v>204</v>
      </c>
      <c r="I1007" s="297"/>
      <c r="J1007" s="297"/>
      <c r="K1007" s="294">
        <f t="shared" si="142"/>
        <v>2.056</v>
      </c>
      <c r="L1007" s="294">
        <f t="shared" si="143"/>
        <v>0.6631383655085662</v>
      </c>
      <c r="M1007" s="309">
        <f t="shared" si="154"/>
        <v>3.7253244943258808</v>
      </c>
      <c r="N1007" s="294">
        <v>0</v>
      </c>
      <c r="O1007" s="294" t="str">
        <f t="shared" si="149"/>
        <v/>
      </c>
      <c r="P1007" s="294"/>
    </row>
    <row r="1008" spans="1:16">
      <c r="A1008" s="294"/>
      <c r="B1008" s="294" t="s">
        <v>592</v>
      </c>
      <c r="C1008" s="294" t="s">
        <v>594</v>
      </c>
      <c r="D1008" s="295" t="s">
        <v>1055</v>
      </c>
      <c r="E1008" s="296">
        <v>11</v>
      </c>
      <c r="F1008" s="294">
        <v>15.1</v>
      </c>
      <c r="G1008" s="308">
        <f t="shared" si="152"/>
        <v>7.3823112900000005</v>
      </c>
      <c r="H1008" s="294">
        <v>105.3</v>
      </c>
      <c r="I1008" s="297"/>
      <c r="J1008" s="297"/>
      <c r="K1008" s="294">
        <f t="shared" si="142"/>
        <v>2.1375999999999999</v>
      </c>
      <c r="L1008" s="294">
        <f t="shared" si="143"/>
        <v>0.62019908683052438</v>
      </c>
      <c r="M1008" s="309">
        <f t="shared" si="154"/>
        <v>2.087822373627275</v>
      </c>
      <c r="N1008" s="294">
        <v>0</v>
      </c>
      <c r="O1008" s="294" t="str">
        <f t="shared" si="149"/>
        <v/>
      </c>
      <c r="P1008" s="294"/>
    </row>
    <row r="1009" spans="1:16">
      <c r="A1009" s="294"/>
      <c r="B1009" s="294" t="s">
        <v>592</v>
      </c>
      <c r="C1009" s="294" t="s">
        <v>594</v>
      </c>
      <c r="D1009" s="295" t="s">
        <v>1055</v>
      </c>
      <c r="E1009" s="296">
        <v>12</v>
      </c>
      <c r="F1009" s="294">
        <v>10.8</v>
      </c>
      <c r="G1009" s="308">
        <f t="shared" si="152"/>
        <v>8.9047781000000015</v>
      </c>
      <c r="H1009" s="294">
        <v>167</v>
      </c>
      <c r="I1009" s="297"/>
      <c r="J1009" s="297"/>
      <c r="K1009" s="294">
        <f t="shared" si="142"/>
        <v>2.2408000000000001</v>
      </c>
      <c r="L1009" s="294">
        <f t="shared" si="143"/>
        <v>0.56205969531029709</v>
      </c>
      <c r="M1009" s="309">
        <f t="shared" si="154"/>
        <v>2.1587946510377805</v>
      </c>
      <c r="N1009" s="294">
        <v>0</v>
      </c>
      <c r="O1009" s="294" t="str">
        <f t="shared" si="149"/>
        <v/>
      </c>
      <c r="P1009" s="294"/>
    </row>
    <row r="1010" spans="1:16">
      <c r="A1010" s="294">
        <v>85</v>
      </c>
      <c r="B1010" s="294" t="s">
        <v>356</v>
      </c>
      <c r="C1010" s="294" t="s">
        <v>595</v>
      </c>
      <c r="D1010" s="295" t="s">
        <v>1063</v>
      </c>
      <c r="E1010" s="296">
        <v>1</v>
      </c>
      <c r="F1010" s="294">
        <v>3.9</v>
      </c>
      <c r="G1010" s="294">
        <v>5.9</v>
      </c>
      <c r="H1010" s="294"/>
      <c r="I1010" s="294">
        <v>0.83</v>
      </c>
      <c r="J1010" s="294">
        <v>0</v>
      </c>
      <c r="K1010" s="294">
        <f t="shared" si="142"/>
        <v>2.4064000000000001</v>
      </c>
      <c r="L1010" s="294">
        <f t="shared" si="143"/>
        <v>0.46378326771227446</v>
      </c>
      <c r="M1010" s="297">
        <f>$I$1010*L1010*(G1010/K1010)+$J$1010</f>
        <v>0.94379432429646271</v>
      </c>
      <c r="N1010" s="294">
        <v>0</v>
      </c>
      <c r="O1010" s="294" t="str">
        <f t="shared" si="149"/>
        <v/>
      </c>
      <c r="P1010" s="294">
        <f>AVERAGE(O1010:O1021)</f>
        <v>6.0503085776196199</v>
      </c>
    </row>
    <row r="1011" spans="1:16">
      <c r="A1011" s="294"/>
      <c r="B1011" s="294" t="s">
        <v>356</v>
      </c>
      <c r="C1011" s="294" t="s">
        <v>595</v>
      </c>
      <c r="D1011" s="295" t="s">
        <v>1063</v>
      </c>
      <c r="E1011" s="296">
        <v>2</v>
      </c>
      <c r="F1011" s="294">
        <v>4.8</v>
      </c>
      <c r="G1011" s="294">
        <v>10.1</v>
      </c>
      <c r="H1011" s="294"/>
      <c r="I1011" s="294"/>
      <c r="J1011" s="294"/>
      <c r="K1011" s="294">
        <f t="shared" si="142"/>
        <v>2.3847999999999998</v>
      </c>
      <c r="L1011" s="294">
        <f t="shared" si="143"/>
        <v>0.47672331586052336</v>
      </c>
      <c r="M1011" s="297">
        <f t="shared" ref="M1011:M1021" si="155">$I$1010*L1011*(G1011/K1011)+$J$1010</f>
        <v>1.6757680127720427</v>
      </c>
      <c r="N1011" s="294">
        <v>0</v>
      </c>
      <c r="O1011" s="294" t="str">
        <f t="shared" si="149"/>
        <v/>
      </c>
      <c r="P1011" s="294"/>
    </row>
    <row r="1012" spans="1:16">
      <c r="A1012" s="294"/>
      <c r="B1012" s="294" t="s">
        <v>356</v>
      </c>
      <c r="C1012" s="294" t="s">
        <v>595</v>
      </c>
      <c r="D1012" s="295" t="s">
        <v>1063</v>
      </c>
      <c r="E1012" s="296">
        <v>3</v>
      </c>
      <c r="F1012" s="294">
        <v>7.9</v>
      </c>
      <c r="G1012" s="294">
        <v>14.3</v>
      </c>
      <c r="H1012" s="294"/>
      <c r="I1012" s="294"/>
      <c r="J1012" s="294"/>
      <c r="K1012" s="294">
        <f t="shared" si="142"/>
        <v>2.3104</v>
      </c>
      <c r="L1012" s="294">
        <f t="shared" si="143"/>
        <v>0.52116977877129977</v>
      </c>
      <c r="M1012" s="297">
        <f t="shared" si="155"/>
        <v>2.6773563470552966</v>
      </c>
      <c r="N1012" s="294">
        <v>0</v>
      </c>
      <c r="O1012" s="294" t="str">
        <f t="shared" si="149"/>
        <v/>
      </c>
      <c r="P1012" s="294"/>
    </row>
    <row r="1013" spans="1:16">
      <c r="A1013" s="294"/>
      <c r="B1013" s="294" t="s">
        <v>356</v>
      </c>
      <c r="C1013" s="294" t="s">
        <v>595</v>
      </c>
      <c r="D1013" s="295" t="s">
        <v>1063</v>
      </c>
      <c r="E1013" s="296">
        <v>4</v>
      </c>
      <c r="F1013" s="294">
        <v>13.6</v>
      </c>
      <c r="G1013" s="294">
        <v>16</v>
      </c>
      <c r="H1013" s="294"/>
      <c r="I1013" s="294"/>
      <c r="J1013" s="294"/>
      <c r="K1013" s="294">
        <f t="shared" si="142"/>
        <v>2.1736</v>
      </c>
      <c r="L1013" s="294">
        <f t="shared" si="143"/>
        <v>0.60034205866642909</v>
      </c>
      <c r="M1013" s="297">
        <f t="shared" si="155"/>
        <v>3.6678977452567985</v>
      </c>
      <c r="N1013" s="294">
        <v>0</v>
      </c>
      <c r="O1013" s="294" t="str">
        <f t="shared" si="149"/>
        <v/>
      </c>
      <c r="P1013" s="294"/>
    </row>
    <row r="1014" spans="1:16">
      <c r="A1014" s="294"/>
      <c r="B1014" s="294" t="s">
        <v>356</v>
      </c>
      <c r="C1014" s="294" t="s">
        <v>595</v>
      </c>
      <c r="D1014" s="295" t="s">
        <v>1063</v>
      </c>
      <c r="E1014" s="296">
        <v>5</v>
      </c>
      <c r="F1014" s="294">
        <v>19.3</v>
      </c>
      <c r="G1014" s="294">
        <v>21.8</v>
      </c>
      <c r="H1014" s="294"/>
      <c r="I1014" s="294"/>
      <c r="J1014" s="294"/>
      <c r="K1014" s="294">
        <f t="shared" si="142"/>
        <v>2.0367999999999999</v>
      </c>
      <c r="L1014" s="294">
        <f t="shared" si="143"/>
        <v>0.67277663480485017</v>
      </c>
      <c r="M1014" s="297">
        <f t="shared" si="155"/>
        <v>5.9766400383734091</v>
      </c>
      <c r="N1014" s="294">
        <v>0</v>
      </c>
      <c r="O1014" s="294" t="str">
        <f t="shared" si="149"/>
        <v/>
      </c>
      <c r="P1014" s="294"/>
    </row>
    <row r="1015" spans="1:16">
      <c r="A1015" s="294"/>
      <c r="B1015" s="294" t="s">
        <v>356</v>
      </c>
      <c r="C1015" s="294" t="s">
        <v>595</v>
      </c>
      <c r="D1015" s="295" t="s">
        <v>1063</v>
      </c>
      <c r="E1015" s="296">
        <v>6</v>
      </c>
      <c r="F1015" s="294">
        <v>21.6</v>
      </c>
      <c r="G1015" s="294">
        <v>16.899999999999999</v>
      </c>
      <c r="H1015" s="294"/>
      <c r="I1015" s="294"/>
      <c r="J1015" s="294"/>
      <c r="K1015" s="294">
        <f t="shared" si="142"/>
        <v>1.9815999999999998</v>
      </c>
      <c r="L1015" s="294">
        <f t="shared" si="143"/>
        <v>0.69940915925890268</v>
      </c>
      <c r="M1015" s="297">
        <f t="shared" si="155"/>
        <v>4.9508539952183233</v>
      </c>
      <c r="N1015" s="294">
        <v>0</v>
      </c>
      <c r="O1015" s="294" t="str">
        <f t="shared" si="149"/>
        <v/>
      </c>
      <c r="P1015" s="294"/>
    </row>
    <row r="1016" spans="1:16">
      <c r="A1016" s="294"/>
      <c r="B1016" s="294" t="s">
        <v>356</v>
      </c>
      <c r="C1016" s="294" t="s">
        <v>595</v>
      </c>
      <c r="D1016" s="295" t="s">
        <v>1063</v>
      </c>
      <c r="E1016" s="296">
        <v>7</v>
      </c>
      <c r="F1016" s="294">
        <v>26.2</v>
      </c>
      <c r="G1016" s="294">
        <v>16.899999999999999</v>
      </c>
      <c r="H1016" s="294"/>
      <c r="I1016" s="294"/>
      <c r="J1016" s="294"/>
      <c r="K1016" s="294">
        <f t="shared" si="142"/>
        <v>1.8712</v>
      </c>
      <c r="L1016" s="294">
        <f t="shared" si="143"/>
        <v>0.74757921999786014</v>
      </c>
      <c r="M1016" s="297">
        <f t="shared" si="155"/>
        <v>5.6040475197253006</v>
      </c>
      <c r="N1016" s="294">
        <v>1</v>
      </c>
      <c r="O1016" s="294">
        <f t="shared" si="149"/>
        <v>5.6040475197253006</v>
      </c>
      <c r="P1016" s="294"/>
    </row>
    <row r="1017" spans="1:16">
      <c r="A1017" s="294"/>
      <c r="B1017" s="294" t="s">
        <v>356</v>
      </c>
      <c r="C1017" s="294" t="s">
        <v>595</v>
      </c>
      <c r="D1017" s="295" t="s">
        <v>1063</v>
      </c>
      <c r="E1017" s="296">
        <v>8</v>
      </c>
      <c r="F1017" s="294">
        <v>27.4</v>
      </c>
      <c r="G1017" s="294">
        <v>19</v>
      </c>
      <c r="H1017" s="294"/>
      <c r="I1017" s="294"/>
      <c r="J1017" s="294"/>
      <c r="K1017" s="294">
        <f t="shared" si="142"/>
        <v>1.8424</v>
      </c>
      <c r="L1017" s="294">
        <f t="shared" si="143"/>
        <v>0.75899048170392402</v>
      </c>
      <c r="M1017" s="297">
        <f t="shared" si="155"/>
        <v>6.4965696355139393</v>
      </c>
      <c r="N1017" s="294">
        <v>1</v>
      </c>
      <c r="O1017" s="294">
        <f t="shared" si="149"/>
        <v>6.4965696355139393</v>
      </c>
      <c r="P1017" s="294"/>
    </row>
    <row r="1018" spans="1:16">
      <c r="A1018" s="294"/>
      <c r="B1018" s="294" t="s">
        <v>356</v>
      </c>
      <c r="C1018" s="294" t="s">
        <v>595</v>
      </c>
      <c r="D1018" s="295" t="s">
        <v>1063</v>
      </c>
      <c r="E1018" s="296">
        <v>9</v>
      </c>
      <c r="F1018" s="294">
        <v>22.1</v>
      </c>
      <c r="G1018" s="294">
        <v>13.9</v>
      </c>
      <c r="H1018" s="294"/>
      <c r="I1018" s="294"/>
      <c r="J1018" s="294"/>
      <c r="K1018" s="294">
        <f t="shared" si="142"/>
        <v>1.9695999999999998</v>
      </c>
      <c r="L1018" s="294">
        <f t="shared" si="143"/>
        <v>0.70497978087041202</v>
      </c>
      <c r="M1018" s="297">
        <f t="shared" si="155"/>
        <v>4.1294434057178835</v>
      </c>
      <c r="N1018" s="294">
        <v>0</v>
      </c>
      <c r="O1018" s="294" t="str">
        <f t="shared" si="149"/>
        <v/>
      </c>
      <c r="P1018" s="294"/>
    </row>
    <row r="1019" spans="1:16">
      <c r="A1019" s="294"/>
      <c r="B1019" s="294" t="s">
        <v>356</v>
      </c>
      <c r="C1019" s="294" t="s">
        <v>595</v>
      </c>
      <c r="D1019" s="295" t="s">
        <v>1063</v>
      </c>
      <c r="E1019" s="296">
        <v>10</v>
      </c>
      <c r="F1019" s="294">
        <v>17.2</v>
      </c>
      <c r="G1019" s="294">
        <v>14.5</v>
      </c>
      <c r="H1019" s="294"/>
      <c r="I1019" s="294"/>
      <c r="J1019" s="294"/>
      <c r="K1019" s="294">
        <f t="shared" si="142"/>
        <v>2.0872000000000002</v>
      </c>
      <c r="L1019" s="294">
        <f t="shared" si="143"/>
        <v>0.64708539575733404</v>
      </c>
      <c r="M1019" s="297">
        <f t="shared" si="155"/>
        <v>3.73115788517608</v>
      </c>
      <c r="N1019" s="294">
        <v>0</v>
      </c>
      <c r="O1019" s="294" t="str">
        <f t="shared" si="149"/>
        <v/>
      </c>
      <c r="P1019" s="294"/>
    </row>
    <row r="1020" spans="1:16">
      <c r="A1020" s="294"/>
      <c r="B1020" s="294" t="s">
        <v>356</v>
      </c>
      <c r="C1020" s="294" t="s">
        <v>595</v>
      </c>
      <c r="D1020" s="295" t="s">
        <v>1063</v>
      </c>
      <c r="E1020" s="296">
        <v>11</v>
      </c>
      <c r="F1020" s="294">
        <v>13.4</v>
      </c>
      <c r="G1020" s="294">
        <v>7.8</v>
      </c>
      <c r="H1020" s="294"/>
      <c r="I1020" s="294"/>
      <c r="J1020" s="294"/>
      <c r="K1020" s="294">
        <f t="shared" si="142"/>
        <v>2.1783999999999999</v>
      </c>
      <c r="L1020" s="294">
        <f t="shared" si="143"/>
        <v>0.59765717915425864</v>
      </c>
      <c r="M1020" s="297">
        <f t="shared" si="155"/>
        <v>1.7761809483311928</v>
      </c>
      <c r="N1020" s="294">
        <v>0</v>
      </c>
      <c r="O1020" s="294" t="str">
        <f t="shared" si="149"/>
        <v/>
      </c>
      <c r="P1020" s="294"/>
    </row>
    <row r="1021" spans="1:16">
      <c r="A1021" s="294"/>
      <c r="B1021" s="294" t="s">
        <v>356</v>
      </c>
      <c r="C1021" s="294" t="s">
        <v>595</v>
      </c>
      <c r="D1021" s="295" t="s">
        <v>1063</v>
      </c>
      <c r="E1021" s="296">
        <v>12</v>
      </c>
      <c r="F1021" s="294">
        <v>8.6</v>
      </c>
      <c r="G1021" s="294">
        <v>7.1</v>
      </c>
      <c r="H1021" s="294"/>
      <c r="I1021" s="294"/>
      <c r="J1021" s="294"/>
      <c r="K1021" s="294">
        <f t="shared" si="142"/>
        <v>2.2936000000000001</v>
      </c>
      <c r="L1021" s="294">
        <f t="shared" si="143"/>
        <v>0.53112526804205062</v>
      </c>
      <c r="M1021" s="297">
        <f t="shared" si="155"/>
        <v>1.3646325447208771</v>
      </c>
      <c r="N1021" s="294">
        <v>0</v>
      </c>
      <c r="O1021" s="294" t="str">
        <f t="shared" si="149"/>
        <v/>
      </c>
      <c r="P1021" s="294"/>
    </row>
    <row r="1022" spans="1:16">
      <c r="A1022" s="294">
        <v>86</v>
      </c>
      <c r="B1022" s="294" t="s">
        <v>596</v>
      </c>
      <c r="C1022" s="294" t="s">
        <v>359</v>
      </c>
      <c r="D1022" s="295" t="s">
        <v>1063</v>
      </c>
      <c r="E1022" s="296">
        <v>1</v>
      </c>
      <c r="F1022" s="294">
        <v>4.9000000000000004</v>
      </c>
      <c r="G1022" s="308">
        <f t="shared" ref="G1022:G1045" si="156">$T$11+$T$12*H1022+INDEX($T$13:$T$24,MATCH(E1022,$S$13:$S$24,0),1)</f>
        <v>1.9996768000000005</v>
      </c>
      <c r="H1022" s="308"/>
      <c r="I1022" s="306">
        <v>0.86299999999999999</v>
      </c>
      <c r="J1022" s="307">
        <v>-0.35</v>
      </c>
      <c r="K1022" s="294">
        <f t="shared" si="142"/>
        <v>2.3824000000000001</v>
      </c>
      <c r="L1022" s="294">
        <f t="shared" si="143"/>
        <v>0.47816140006637126</v>
      </c>
      <c r="M1022" s="309">
        <f>$I$1022*L1022*(G1022/K1022)+$J$1022</f>
        <v>-3.6378412643585656E-3</v>
      </c>
      <c r="N1022" s="294">
        <v>0</v>
      </c>
      <c r="O1022" s="294" t="str">
        <f t="shared" si="149"/>
        <v/>
      </c>
      <c r="P1022" s="294">
        <f>AVERAGE(O1022:O1033)</f>
        <v>2.9006145125330853</v>
      </c>
    </row>
    <row r="1023" spans="1:16">
      <c r="A1023" s="294"/>
      <c r="B1023" s="294" t="s">
        <v>596</v>
      </c>
      <c r="C1023" s="294" t="s">
        <v>359</v>
      </c>
      <c r="D1023" s="295" t="s">
        <v>1063</v>
      </c>
      <c r="E1023" s="296">
        <v>2</v>
      </c>
      <c r="F1023" s="294">
        <v>5.6</v>
      </c>
      <c r="G1023" s="308">
        <f t="shared" si="156"/>
        <v>4.4199175999999998</v>
      </c>
      <c r="H1023" s="308"/>
      <c r="I1023" s="294"/>
      <c r="J1023" s="294"/>
      <c r="K1023" s="294">
        <f t="shared" si="142"/>
        <v>2.3656000000000001</v>
      </c>
      <c r="L1023" s="294">
        <f t="shared" si="143"/>
        <v>0.48822551452936902</v>
      </c>
      <c r="M1023" s="309">
        <f t="shared" ref="M1023:M1033" si="157">$I$1022*L1023*(G1023/K1023)+$J$1022</f>
        <v>0.43723451887448761</v>
      </c>
      <c r="N1023" s="294">
        <v>0</v>
      </c>
      <c r="O1023" s="294" t="str">
        <f t="shared" si="149"/>
        <v/>
      </c>
      <c r="P1023" s="294"/>
    </row>
    <row r="1024" spans="1:16">
      <c r="A1024" s="294"/>
      <c r="B1024" s="294" t="s">
        <v>596</v>
      </c>
      <c r="C1024" s="294" t="s">
        <v>359</v>
      </c>
      <c r="D1024" s="295" t="s">
        <v>1063</v>
      </c>
      <c r="E1024" s="296">
        <v>3</v>
      </c>
      <c r="F1024" s="294">
        <v>9.4</v>
      </c>
      <c r="G1024" s="308">
        <f t="shared" si="156"/>
        <v>6.0525017000000005</v>
      </c>
      <c r="H1024" s="308"/>
      <c r="I1024" s="294"/>
      <c r="J1024" s="294"/>
      <c r="K1024" s="294">
        <f t="shared" si="142"/>
        <v>2.2744</v>
      </c>
      <c r="L1024" s="294">
        <f t="shared" si="143"/>
        <v>0.54244317029746025</v>
      </c>
      <c r="M1024" s="309">
        <f t="shared" si="157"/>
        <v>0.89575636456070906</v>
      </c>
      <c r="N1024" s="294">
        <v>0</v>
      </c>
      <c r="O1024" s="294" t="str">
        <f t="shared" si="149"/>
        <v/>
      </c>
      <c r="P1024" s="294"/>
    </row>
    <row r="1025" spans="1:16">
      <c r="A1025" s="294"/>
      <c r="B1025" s="294" t="s">
        <v>596</v>
      </c>
      <c r="C1025" s="294" t="s">
        <v>359</v>
      </c>
      <c r="D1025" s="295" t="s">
        <v>1063</v>
      </c>
      <c r="E1025" s="296">
        <v>4</v>
      </c>
      <c r="F1025" s="294">
        <v>15.6</v>
      </c>
      <c r="G1025" s="308">
        <f t="shared" si="156"/>
        <v>7.969462</v>
      </c>
      <c r="H1025" s="308"/>
      <c r="I1025" s="294"/>
      <c r="J1025" s="294"/>
      <c r="K1025" s="294">
        <f t="shared" si="142"/>
        <v>2.1255999999999999</v>
      </c>
      <c r="L1025" s="294">
        <f t="shared" si="143"/>
        <v>0.62670175707655418</v>
      </c>
      <c r="M1025" s="309">
        <f t="shared" si="157"/>
        <v>1.6777722283121084</v>
      </c>
      <c r="N1025" s="294">
        <v>0</v>
      </c>
      <c r="O1025" s="294" t="str">
        <f t="shared" si="149"/>
        <v/>
      </c>
      <c r="P1025" s="294"/>
    </row>
    <row r="1026" spans="1:16">
      <c r="A1026" s="294"/>
      <c r="B1026" s="294" t="s">
        <v>596</v>
      </c>
      <c r="C1026" s="294" t="s">
        <v>359</v>
      </c>
      <c r="D1026" s="295" t="s">
        <v>1063</v>
      </c>
      <c r="E1026" s="296">
        <v>5</v>
      </c>
      <c r="F1026" s="294">
        <v>21.2</v>
      </c>
      <c r="G1026" s="308">
        <f t="shared" si="156"/>
        <v>9.763087800000001</v>
      </c>
      <c r="H1026" s="308"/>
      <c r="I1026" s="294"/>
      <c r="J1026" s="294"/>
      <c r="K1026" s="294">
        <f t="shared" si="142"/>
        <v>1.9912000000000001</v>
      </c>
      <c r="L1026" s="294">
        <f t="shared" si="143"/>
        <v>0.69489543911089335</v>
      </c>
      <c r="M1026" s="309">
        <f t="shared" si="157"/>
        <v>2.5903739622692319</v>
      </c>
      <c r="N1026" s="294">
        <v>0</v>
      </c>
      <c r="O1026" s="294" t="str">
        <f t="shared" ref="O1026:O1089" si="158">IF(N1026*M1026=0,"",N1026*M1026)</f>
        <v/>
      </c>
      <c r="P1026" s="294"/>
    </row>
    <row r="1027" spans="1:16">
      <c r="A1027" s="294"/>
      <c r="B1027" s="294" t="s">
        <v>596</v>
      </c>
      <c r="C1027" s="294" t="s">
        <v>359</v>
      </c>
      <c r="D1027" s="295" t="s">
        <v>1063</v>
      </c>
      <c r="E1027" s="296">
        <v>6</v>
      </c>
      <c r="F1027" s="294">
        <v>22.8</v>
      </c>
      <c r="G1027" s="308">
        <f t="shared" si="156"/>
        <v>9.8467880000000001</v>
      </c>
      <c r="H1027" s="308"/>
      <c r="I1027" s="294"/>
      <c r="J1027" s="294"/>
      <c r="K1027" s="294">
        <f t="shared" si="142"/>
        <v>1.9527999999999999</v>
      </c>
      <c r="L1027" s="294">
        <f t="shared" si="143"/>
        <v>0.71264368087977559</v>
      </c>
      <c r="M1027" s="309">
        <f t="shared" si="157"/>
        <v>2.7511305943135502</v>
      </c>
      <c r="N1027" s="294">
        <v>0</v>
      </c>
      <c r="O1027" s="294" t="str">
        <f t="shared" si="158"/>
        <v/>
      </c>
      <c r="P1027" s="294"/>
    </row>
    <row r="1028" spans="1:16">
      <c r="A1028" s="294"/>
      <c r="B1028" s="294" t="s">
        <v>596</v>
      </c>
      <c r="C1028" s="294" t="s">
        <v>359</v>
      </c>
      <c r="D1028" s="295" t="s">
        <v>1063</v>
      </c>
      <c r="E1028" s="296">
        <v>7</v>
      </c>
      <c r="F1028" s="294">
        <v>27.2</v>
      </c>
      <c r="G1028" s="308">
        <f t="shared" si="156"/>
        <v>9.446059</v>
      </c>
      <c r="H1028" s="308"/>
      <c r="I1028" s="294"/>
      <c r="J1028" s="294"/>
      <c r="K1028" s="294">
        <f t="shared" si="142"/>
        <v>1.8472</v>
      </c>
      <c r="L1028" s="294">
        <f t="shared" si="143"/>
        <v>0.75712202532428419</v>
      </c>
      <c r="M1028" s="309">
        <f t="shared" si="157"/>
        <v>2.9912841459393378</v>
      </c>
      <c r="N1028" s="294">
        <v>1</v>
      </c>
      <c r="O1028" s="294">
        <f t="shared" si="158"/>
        <v>2.9912841459393378</v>
      </c>
      <c r="P1028" s="294"/>
    </row>
    <row r="1029" spans="1:16">
      <c r="A1029" s="294"/>
      <c r="B1029" s="294" t="s">
        <v>596</v>
      </c>
      <c r="C1029" s="294" t="s">
        <v>359</v>
      </c>
      <c r="D1029" s="295" t="s">
        <v>1063</v>
      </c>
      <c r="E1029" s="296">
        <v>8</v>
      </c>
      <c r="F1029" s="294">
        <v>28.3</v>
      </c>
      <c r="G1029" s="308">
        <f t="shared" si="156"/>
        <v>8.6896734999999996</v>
      </c>
      <c r="H1029" s="308"/>
      <c r="I1029" s="294"/>
      <c r="J1029" s="294"/>
      <c r="K1029" s="294">
        <f t="shared" si="142"/>
        <v>1.8208</v>
      </c>
      <c r="L1029" s="294">
        <f t="shared" si="143"/>
        <v>0.76723339367766763</v>
      </c>
      <c r="M1029" s="309">
        <f t="shared" si="157"/>
        <v>2.8099448791268333</v>
      </c>
      <c r="N1029" s="294">
        <v>1</v>
      </c>
      <c r="O1029" s="294">
        <f t="shared" si="158"/>
        <v>2.8099448791268333</v>
      </c>
      <c r="P1029" s="294"/>
    </row>
    <row r="1030" spans="1:16">
      <c r="A1030" s="294"/>
      <c r="B1030" s="294" t="s">
        <v>596</v>
      </c>
      <c r="C1030" s="294" t="s">
        <v>359</v>
      </c>
      <c r="D1030" s="295" t="s">
        <v>1063</v>
      </c>
      <c r="E1030" s="296">
        <v>9</v>
      </c>
      <c r="F1030" s="294">
        <v>22.9</v>
      </c>
      <c r="G1030" s="308">
        <f t="shared" si="156"/>
        <v>6.9244161999999996</v>
      </c>
      <c r="H1030" s="308"/>
      <c r="I1030" s="294"/>
      <c r="J1030" s="294"/>
      <c r="K1030" s="294">
        <f t="shared" si="142"/>
        <v>1.9504000000000001</v>
      </c>
      <c r="L1030" s="294">
        <f t="shared" si="143"/>
        <v>0.71372556847664814</v>
      </c>
      <c r="M1030" s="309">
        <f t="shared" si="157"/>
        <v>1.8367620400738844</v>
      </c>
      <c r="N1030" s="294">
        <v>0</v>
      </c>
      <c r="O1030" s="294" t="str">
        <f t="shared" si="158"/>
        <v/>
      </c>
      <c r="P1030" s="294"/>
    </row>
    <row r="1031" spans="1:16">
      <c r="A1031" s="294"/>
      <c r="B1031" s="294" t="s">
        <v>596</v>
      </c>
      <c r="C1031" s="294" t="s">
        <v>359</v>
      </c>
      <c r="D1031" s="295" t="s">
        <v>1063</v>
      </c>
      <c r="E1031" s="296">
        <v>10</v>
      </c>
      <c r="F1031" s="294">
        <v>18.100000000000001</v>
      </c>
      <c r="G1031" s="308">
        <f t="shared" si="156"/>
        <v>3.9141311999999999</v>
      </c>
      <c r="H1031" s="308"/>
      <c r="I1031" s="294"/>
      <c r="J1031" s="294"/>
      <c r="K1031" s="294">
        <f t="shared" si="142"/>
        <v>2.0655999999999999</v>
      </c>
      <c r="L1031" s="294">
        <f t="shared" si="143"/>
        <v>0.65824963683932147</v>
      </c>
      <c r="M1031" s="309">
        <f t="shared" si="157"/>
        <v>0.72644185976591691</v>
      </c>
      <c r="N1031" s="294">
        <v>0</v>
      </c>
      <c r="O1031" s="294" t="str">
        <f t="shared" si="158"/>
        <v/>
      </c>
      <c r="P1031" s="294"/>
    </row>
    <row r="1032" spans="1:16">
      <c r="A1032" s="294"/>
      <c r="B1032" s="294" t="s">
        <v>596</v>
      </c>
      <c r="C1032" s="294" t="s">
        <v>359</v>
      </c>
      <c r="D1032" s="295" t="s">
        <v>1063</v>
      </c>
      <c r="E1032" s="296">
        <v>11</v>
      </c>
      <c r="F1032" s="294">
        <v>14.5</v>
      </c>
      <c r="G1032" s="308">
        <f t="shared" si="156"/>
        <v>2.5891289999999998</v>
      </c>
      <c r="H1032" s="308"/>
      <c r="I1032" s="294"/>
      <c r="J1032" s="294"/>
      <c r="K1032" s="294">
        <f t="shared" si="142"/>
        <v>2.1520000000000001</v>
      </c>
      <c r="L1032" s="294">
        <f t="shared" si="143"/>
        <v>0.61231732805409467</v>
      </c>
      <c r="M1032" s="309">
        <f t="shared" si="157"/>
        <v>0.28576815043854098</v>
      </c>
      <c r="N1032" s="294">
        <v>0</v>
      </c>
      <c r="O1032" s="294" t="str">
        <f t="shared" si="158"/>
        <v/>
      </c>
      <c r="P1032" s="294"/>
    </row>
    <row r="1033" spans="1:16">
      <c r="A1033" s="294"/>
      <c r="B1033" s="294" t="s">
        <v>596</v>
      </c>
      <c r="C1033" s="294" t="s">
        <v>359</v>
      </c>
      <c r="D1033" s="295" t="s">
        <v>1063</v>
      </c>
      <c r="E1033" s="296">
        <v>12</v>
      </c>
      <c r="F1033" s="294">
        <v>9</v>
      </c>
      <c r="G1033" s="308">
        <f t="shared" si="156"/>
        <v>1.3030549999999996</v>
      </c>
      <c r="H1033" s="308"/>
      <c r="I1033" s="294"/>
      <c r="J1033" s="294"/>
      <c r="K1033" s="294">
        <f t="shared" si="142"/>
        <v>2.2839999999999998</v>
      </c>
      <c r="L1033" s="294">
        <f t="shared" si="143"/>
        <v>0.53679291860732048</v>
      </c>
      <c r="M1033" s="309">
        <f t="shared" si="157"/>
        <v>-8.5707876038656372E-2</v>
      </c>
      <c r="N1033" s="294">
        <v>0</v>
      </c>
      <c r="O1033" s="294" t="str">
        <f t="shared" si="158"/>
        <v/>
      </c>
      <c r="P1033" s="294"/>
    </row>
    <row r="1034" spans="1:16">
      <c r="A1034" s="294">
        <v>87</v>
      </c>
      <c r="B1034" s="294" t="s">
        <v>596</v>
      </c>
      <c r="C1034" s="294" t="s">
        <v>597</v>
      </c>
      <c r="D1034" s="295" t="s">
        <v>1063</v>
      </c>
      <c r="E1034" s="296">
        <v>1</v>
      </c>
      <c r="F1034" s="294">
        <v>3.7</v>
      </c>
      <c r="G1034" s="308">
        <f t="shared" si="156"/>
        <v>4.0434933700000011</v>
      </c>
      <c r="H1034" s="294">
        <v>44.9</v>
      </c>
      <c r="I1034" s="306">
        <v>0.94799999999999995</v>
      </c>
      <c r="J1034" s="307">
        <v>0.06</v>
      </c>
      <c r="K1034" s="294">
        <f t="shared" si="142"/>
        <v>2.4112</v>
      </c>
      <c r="L1034" s="294">
        <f t="shared" si="143"/>
        <v>0.46090951699322635</v>
      </c>
      <c r="M1034" s="309">
        <f>$I$1034*L1034*(G1034/K1034)+$J$1034</f>
        <v>0.79273597303133236</v>
      </c>
      <c r="N1034" s="294">
        <v>0</v>
      </c>
      <c r="O1034" s="294" t="str">
        <f t="shared" si="158"/>
        <v/>
      </c>
      <c r="P1034" s="294">
        <f>AVERAGE(O1034:O1045)</f>
        <v>6.4442231522850264</v>
      </c>
    </row>
    <row r="1035" spans="1:16">
      <c r="A1035" s="294"/>
      <c r="B1035" s="294" t="s">
        <v>596</v>
      </c>
      <c r="C1035" s="294" t="s">
        <v>597</v>
      </c>
      <c r="D1035" s="295" t="s">
        <v>1063</v>
      </c>
      <c r="E1035" s="296">
        <v>2</v>
      </c>
      <c r="F1035" s="294">
        <v>4.4000000000000004</v>
      </c>
      <c r="G1035" s="308">
        <f t="shared" si="156"/>
        <v>7.6426840399999989</v>
      </c>
      <c r="H1035" s="294">
        <v>70.8</v>
      </c>
      <c r="I1035" s="297"/>
      <c r="J1035" s="297"/>
      <c r="K1035" s="294">
        <f t="shared" si="142"/>
        <v>2.3944000000000001</v>
      </c>
      <c r="L1035" s="294">
        <f t="shared" si="143"/>
        <v>0.47097114415321184</v>
      </c>
      <c r="M1035" s="309">
        <f t="shared" ref="M1035:M1045" si="159">$I$1034*L1035*(G1035/K1035)+$J$1034</f>
        <v>1.4851213235427814</v>
      </c>
      <c r="N1035" s="294">
        <v>0</v>
      </c>
      <c r="O1035" s="294" t="str">
        <f t="shared" si="158"/>
        <v/>
      </c>
      <c r="P1035" s="294"/>
    </row>
    <row r="1036" spans="1:16">
      <c r="A1036" s="294"/>
      <c r="B1036" s="294" t="s">
        <v>596</v>
      </c>
      <c r="C1036" s="294" t="s">
        <v>597</v>
      </c>
      <c r="D1036" s="295" t="s">
        <v>1063</v>
      </c>
      <c r="E1036" s="296">
        <v>3</v>
      </c>
      <c r="F1036" s="294">
        <v>7.6</v>
      </c>
      <c r="G1036" s="308">
        <f t="shared" si="156"/>
        <v>12.63459248</v>
      </c>
      <c r="H1036" s="294">
        <v>144.6</v>
      </c>
      <c r="I1036" s="297"/>
      <c r="J1036" s="297"/>
      <c r="K1036" s="294">
        <f t="shared" si="142"/>
        <v>2.3176000000000001</v>
      </c>
      <c r="L1036" s="294">
        <f t="shared" si="143"/>
        <v>0.51689044020520014</v>
      </c>
      <c r="M1036" s="309">
        <f t="shared" si="159"/>
        <v>2.7313426239311718</v>
      </c>
      <c r="N1036" s="294">
        <v>0</v>
      </c>
      <c r="O1036" s="294" t="str">
        <f t="shared" si="158"/>
        <v/>
      </c>
      <c r="P1036" s="294"/>
    </row>
    <row r="1037" spans="1:16">
      <c r="A1037" s="294"/>
      <c r="B1037" s="294" t="s">
        <v>596</v>
      </c>
      <c r="C1037" s="294" t="s">
        <v>597</v>
      </c>
      <c r="D1037" s="295" t="s">
        <v>1063</v>
      </c>
      <c r="E1037" s="296">
        <v>4</v>
      </c>
      <c r="F1037" s="294">
        <v>13.8</v>
      </c>
      <c r="G1037" s="308">
        <f t="shared" si="156"/>
        <v>15.247998070000001</v>
      </c>
      <c r="H1037" s="294">
        <v>159.9</v>
      </c>
      <c r="I1037" s="297"/>
      <c r="J1037" s="297"/>
      <c r="K1037" s="294">
        <f t="shared" si="142"/>
        <v>2.1688000000000001</v>
      </c>
      <c r="L1037" s="294">
        <f t="shared" si="143"/>
        <v>0.60301849560891085</v>
      </c>
      <c r="M1037" s="309">
        <f t="shared" si="159"/>
        <v>4.0791322227238975</v>
      </c>
      <c r="N1037" s="294">
        <v>0</v>
      </c>
      <c r="O1037" s="294" t="str">
        <f t="shared" si="158"/>
        <v/>
      </c>
      <c r="P1037" s="294"/>
    </row>
    <row r="1038" spans="1:16">
      <c r="A1038" s="294"/>
      <c r="B1038" s="294" t="s">
        <v>596</v>
      </c>
      <c r="C1038" s="294" t="s">
        <v>597</v>
      </c>
      <c r="D1038" s="295" t="s">
        <v>1063</v>
      </c>
      <c r="E1038" s="296">
        <v>5</v>
      </c>
      <c r="F1038" s="294">
        <v>19</v>
      </c>
      <c r="G1038" s="308">
        <f t="shared" si="156"/>
        <v>20.787862260000001</v>
      </c>
      <c r="H1038" s="294">
        <v>242.2</v>
      </c>
      <c r="I1038" s="297"/>
      <c r="J1038" s="297"/>
      <c r="K1038" s="294">
        <f t="shared" si="142"/>
        <v>2.044</v>
      </c>
      <c r="L1038" s="294">
        <f t="shared" si="143"/>
        <v>0.66918429216402076</v>
      </c>
      <c r="M1038" s="309">
        <f t="shared" si="159"/>
        <v>6.5118314704863369</v>
      </c>
      <c r="N1038" s="294">
        <v>0</v>
      </c>
      <c r="O1038" s="294" t="str">
        <f t="shared" si="158"/>
        <v/>
      </c>
      <c r="P1038" s="294"/>
    </row>
    <row r="1039" spans="1:16">
      <c r="A1039" s="294"/>
      <c r="B1039" s="294" t="s">
        <v>596</v>
      </c>
      <c r="C1039" s="294" t="s">
        <v>597</v>
      </c>
      <c r="D1039" s="295" t="s">
        <v>1063</v>
      </c>
      <c r="E1039" s="296">
        <v>6</v>
      </c>
      <c r="F1039" s="294">
        <v>21.3</v>
      </c>
      <c r="G1039" s="308">
        <f t="shared" si="156"/>
        <v>15.568564009999999</v>
      </c>
      <c r="H1039" s="294">
        <v>125.7</v>
      </c>
      <c r="I1039" s="297"/>
      <c r="J1039" s="297"/>
      <c r="K1039" s="294">
        <f t="shared" si="142"/>
        <v>1.9887999999999999</v>
      </c>
      <c r="L1039" s="294">
        <f t="shared" si="143"/>
        <v>0.69602860950497947</v>
      </c>
      <c r="M1039" s="309">
        <f t="shared" si="159"/>
        <v>5.2252681667117598</v>
      </c>
      <c r="N1039" s="294">
        <v>0</v>
      </c>
      <c r="O1039" s="294" t="str">
        <f t="shared" si="158"/>
        <v/>
      </c>
      <c r="P1039" s="294"/>
    </row>
    <row r="1040" spans="1:16">
      <c r="A1040" s="294"/>
      <c r="B1040" s="294" t="s">
        <v>596</v>
      </c>
      <c r="C1040" s="294" t="s">
        <v>597</v>
      </c>
      <c r="D1040" s="295" t="s">
        <v>1063</v>
      </c>
      <c r="E1040" s="296">
        <v>7</v>
      </c>
      <c r="F1040" s="294">
        <v>25.8</v>
      </c>
      <c r="G1040" s="308">
        <f t="shared" si="156"/>
        <v>16.269402069999998</v>
      </c>
      <c r="H1040" s="294">
        <v>149.9</v>
      </c>
      <c r="I1040" s="297"/>
      <c r="J1040" s="297"/>
      <c r="K1040" s="294">
        <f t="shared" si="142"/>
        <v>1.8807999999999998</v>
      </c>
      <c r="L1040" s="294">
        <f t="shared" si="143"/>
        <v>0.74366850574375487</v>
      </c>
      <c r="M1040" s="309">
        <f t="shared" si="159"/>
        <v>6.1584111795782146</v>
      </c>
      <c r="N1040" s="294">
        <v>1</v>
      </c>
      <c r="O1040" s="294">
        <f t="shared" si="158"/>
        <v>6.1584111795782146</v>
      </c>
      <c r="P1040" s="294"/>
    </row>
    <row r="1041" spans="1:16">
      <c r="A1041" s="294"/>
      <c r="B1041" s="294" t="s">
        <v>596</v>
      </c>
      <c r="C1041" s="294" t="s">
        <v>597</v>
      </c>
      <c r="D1041" s="295" t="s">
        <v>1063</v>
      </c>
      <c r="E1041" s="296">
        <v>8</v>
      </c>
      <c r="F1041" s="294">
        <v>26.4</v>
      </c>
      <c r="G1041" s="308">
        <f t="shared" si="156"/>
        <v>17.520417699999999</v>
      </c>
      <c r="H1041" s="294">
        <v>194</v>
      </c>
      <c r="I1041" s="297"/>
      <c r="J1041" s="297"/>
      <c r="K1041" s="294">
        <f t="shared" si="142"/>
        <v>1.8664000000000001</v>
      </c>
      <c r="L1041" s="294">
        <f t="shared" si="143"/>
        <v>0.74951452498067139</v>
      </c>
      <c r="M1041" s="309">
        <f t="shared" si="159"/>
        <v>6.7300351249918382</v>
      </c>
      <c r="N1041" s="294">
        <v>1</v>
      </c>
      <c r="O1041" s="294">
        <f t="shared" si="158"/>
        <v>6.7300351249918382</v>
      </c>
      <c r="P1041" s="294"/>
    </row>
    <row r="1042" spans="1:16">
      <c r="A1042" s="294"/>
      <c r="B1042" s="294" t="s">
        <v>596</v>
      </c>
      <c r="C1042" s="294" t="s">
        <v>597</v>
      </c>
      <c r="D1042" s="295" t="s">
        <v>1063</v>
      </c>
      <c r="E1042" s="296">
        <v>9</v>
      </c>
      <c r="F1042" s="294">
        <v>21</v>
      </c>
      <c r="G1042" s="308">
        <f t="shared" si="156"/>
        <v>12.55515361</v>
      </c>
      <c r="H1042" s="294">
        <v>123.7</v>
      </c>
      <c r="I1042" s="297"/>
      <c r="J1042" s="297"/>
      <c r="K1042" s="294">
        <f t="shared" si="142"/>
        <v>1.996</v>
      </c>
      <c r="L1042" s="294">
        <f t="shared" si="143"/>
        <v>0.69261966250512974</v>
      </c>
      <c r="M1042" s="309">
        <f t="shared" si="159"/>
        <v>4.1901388029775699</v>
      </c>
      <c r="N1042" s="294">
        <v>0</v>
      </c>
      <c r="O1042" s="294" t="str">
        <f t="shared" si="158"/>
        <v/>
      </c>
      <c r="P1042" s="294"/>
    </row>
    <row r="1043" spans="1:16">
      <c r="A1043" s="294"/>
      <c r="B1043" s="294" t="s">
        <v>596</v>
      </c>
      <c r="C1043" s="294" t="s">
        <v>597</v>
      </c>
      <c r="D1043" s="295" t="s">
        <v>1063</v>
      </c>
      <c r="E1043" s="296">
        <v>10</v>
      </c>
      <c r="F1043" s="294">
        <v>16.3</v>
      </c>
      <c r="G1043" s="308">
        <f t="shared" si="156"/>
        <v>12.444448019999999</v>
      </c>
      <c r="H1043" s="294">
        <v>187.4</v>
      </c>
      <c r="I1043" s="297"/>
      <c r="J1043" s="297"/>
      <c r="K1043" s="294">
        <f t="shared" si="142"/>
        <v>2.1088</v>
      </c>
      <c r="L1043" s="294">
        <f t="shared" si="143"/>
        <v>0.63570126432395468</v>
      </c>
      <c r="M1043" s="309">
        <f t="shared" si="159"/>
        <v>3.6163267595035524</v>
      </c>
      <c r="N1043" s="294">
        <v>0</v>
      </c>
      <c r="O1043" s="294" t="str">
        <f t="shared" si="158"/>
        <v/>
      </c>
      <c r="P1043" s="294"/>
    </row>
    <row r="1044" spans="1:16">
      <c r="A1044" s="294"/>
      <c r="B1044" s="294" t="s">
        <v>596</v>
      </c>
      <c r="C1044" s="294" t="s">
        <v>597</v>
      </c>
      <c r="D1044" s="295" t="s">
        <v>1063</v>
      </c>
      <c r="E1044" s="296">
        <v>11</v>
      </c>
      <c r="F1044" s="294">
        <v>13.2</v>
      </c>
      <c r="G1044" s="308">
        <f t="shared" si="156"/>
        <v>6.5675158200000006</v>
      </c>
      <c r="H1044" s="294">
        <v>87.4</v>
      </c>
      <c r="I1044" s="297"/>
      <c r="J1044" s="297"/>
      <c r="K1044" s="294">
        <f t="shared" si="142"/>
        <v>2.1832000000000003</v>
      </c>
      <c r="L1044" s="294">
        <f t="shared" si="143"/>
        <v>0.59496401387711539</v>
      </c>
      <c r="M1044" s="309">
        <f t="shared" si="159"/>
        <v>1.7567061760939375</v>
      </c>
      <c r="N1044" s="294">
        <v>0</v>
      </c>
      <c r="O1044" s="294" t="str">
        <f t="shared" si="158"/>
        <v/>
      </c>
      <c r="P1044" s="294"/>
    </row>
    <row r="1045" spans="1:16">
      <c r="A1045" s="294"/>
      <c r="B1045" s="294" t="s">
        <v>596</v>
      </c>
      <c r="C1045" s="294" t="s">
        <v>597</v>
      </c>
      <c r="D1045" s="295" t="s">
        <v>1063</v>
      </c>
      <c r="E1045" s="296">
        <v>12</v>
      </c>
      <c r="F1045" s="294">
        <v>7.9</v>
      </c>
      <c r="G1045" s="308">
        <f t="shared" si="156"/>
        <v>4.9764625100000002</v>
      </c>
      <c r="H1045" s="294">
        <v>80.7</v>
      </c>
      <c r="I1045" s="297"/>
      <c r="J1045" s="297"/>
      <c r="K1045" s="294">
        <f t="shared" si="142"/>
        <v>2.3104</v>
      </c>
      <c r="L1045" s="294">
        <f t="shared" si="143"/>
        <v>0.52116977877129977</v>
      </c>
      <c r="M1045" s="309">
        <f t="shared" si="159"/>
        <v>1.1241947751036825</v>
      </c>
      <c r="N1045" s="294">
        <v>0</v>
      </c>
      <c r="O1045" s="294" t="str">
        <f t="shared" si="158"/>
        <v/>
      </c>
      <c r="P1045" s="294"/>
    </row>
    <row r="1046" spans="1:16">
      <c r="A1046" s="294">
        <v>88</v>
      </c>
      <c r="B1046" s="294" t="s">
        <v>598</v>
      </c>
      <c r="C1046" s="294" t="s">
        <v>598</v>
      </c>
      <c r="D1046" s="295" t="s">
        <v>1063</v>
      </c>
      <c r="E1046" s="296">
        <v>1</v>
      </c>
      <c r="F1046" s="294">
        <v>6.1</v>
      </c>
      <c r="G1046" s="294">
        <v>7.8</v>
      </c>
      <c r="H1046" s="294"/>
      <c r="I1046" s="294">
        <v>0.99199999999999999</v>
      </c>
      <c r="J1046" s="294">
        <v>-0.17</v>
      </c>
      <c r="K1046" s="294">
        <f t="shared" si="142"/>
        <v>2.3536000000000001</v>
      </c>
      <c r="L1046" s="294">
        <f t="shared" si="143"/>
        <v>0.49540811078051672</v>
      </c>
      <c r="M1046" s="297">
        <f t="shared" ref="M1046:M1057" si="160">$I$1046*L1046*(G1046/K1046)+$J$1046</f>
        <v>1.4586836327223514</v>
      </c>
      <c r="N1046" s="294">
        <v>0</v>
      </c>
      <c r="O1046" s="294" t="str">
        <f t="shared" si="158"/>
        <v/>
      </c>
      <c r="P1046" s="294">
        <f>AVERAGE(O1046:O1057)</f>
        <v>7.2651331052440939</v>
      </c>
    </row>
    <row r="1047" spans="1:16">
      <c r="A1047" s="294"/>
      <c r="B1047" s="294" t="s">
        <v>598</v>
      </c>
      <c r="C1047" s="294" t="s">
        <v>598</v>
      </c>
      <c r="D1047" s="295" t="s">
        <v>1063</v>
      </c>
      <c r="E1047" s="296">
        <v>2</v>
      </c>
      <c r="F1047" s="294">
        <v>6.9</v>
      </c>
      <c r="G1047" s="294">
        <v>10.9</v>
      </c>
      <c r="H1047" s="294"/>
      <c r="I1047" s="294"/>
      <c r="J1047" s="294"/>
      <c r="K1047" s="294">
        <f t="shared" si="142"/>
        <v>2.3344</v>
      </c>
      <c r="L1047" s="294">
        <f t="shared" si="143"/>
        <v>0.50688071678429469</v>
      </c>
      <c r="M1047" s="297">
        <f t="shared" si="160"/>
        <v>2.1778409074902423</v>
      </c>
      <c r="N1047" s="294">
        <v>0</v>
      </c>
      <c r="O1047" s="294" t="str">
        <f t="shared" si="158"/>
        <v/>
      </c>
      <c r="P1047" s="294"/>
    </row>
    <row r="1048" spans="1:16">
      <c r="A1048" s="294"/>
      <c r="B1048" s="294" t="s">
        <v>598</v>
      </c>
      <c r="C1048" s="294" t="s">
        <v>598</v>
      </c>
      <c r="D1048" s="295" t="s">
        <v>1063</v>
      </c>
      <c r="E1048" s="296">
        <v>3</v>
      </c>
      <c r="F1048" s="294">
        <v>10.199999999999999</v>
      </c>
      <c r="G1048" s="294">
        <v>14</v>
      </c>
      <c r="H1048" s="294"/>
      <c r="I1048" s="294"/>
      <c r="J1048" s="294"/>
      <c r="K1048" s="294">
        <f t="shared" si="142"/>
        <v>2.2551999999999999</v>
      </c>
      <c r="L1048" s="294">
        <f t="shared" si="143"/>
        <v>0.55368525424125736</v>
      </c>
      <c r="M1048" s="297">
        <f t="shared" si="160"/>
        <v>3.2397112499568035</v>
      </c>
      <c r="N1048" s="294">
        <v>0</v>
      </c>
      <c r="O1048" s="294" t="str">
        <f t="shared" si="158"/>
        <v/>
      </c>
      <c r="P1048" s="294"/>
    </row>
    <row r="1049" spans="1:16">
      <c r="A1049" s="294"/>
      <c r="B1049" s="294" t="s">
        <v>598</v>
      </c>
      <c r="C1049" s="294" t="s">
        <v>598</v>
      </c>
      <c r="D1049" s="295" t="s">
        <v>1063</v>
      </c>
      <c r="E1049" s="296">
        <v>4</v>
      </c>
      <c r="F1049" s="294">
        <v>15.9</v>
      </c>
      <c r="G1049" s="294">
        <v>15</v>
      </c>
      <c r="H1049" s="294"/>
      <c r="I1049" s="294"/>
      <c r="J1049" s="294"/>
      <c r="K1049" s="294">
        <f t="shared" si="142"/>
        <v>2.1183999999999998</v>
      </c>
      <c r="L1049" s="294">
        <f t="shared" si="143"/>
        <v>0.63057384037924924</v>
      </c>
      <c r="M1049" s="297">
        <f t="shared" si="160"/>
        <v>4.2592573380113432</v>
      </c>
      <c r="N1049" s="294">
        <v>0</v>
      </c>
      <c r="O1049" s="294" t="str">
        <f t="shared" si="158"/>
        <v/>
      </c>
      <c r="P1049" s="294"/>
    </row>
    <row r="1050" spans="1:16">
      <c r="A1050" s="294"/>
      <c r="B1050" s="294" t="s">
        <v>598</v>
      </c>
      <c r="C1050" s="294" t="s">
        <v>598</v>
      </c>
      <c r="D1050" s="295" t="s">
        <v>1063</v>
      </c>
      <c r="E1050" s="296">
        <v>5</v>
      </c>
      <c r="F1050" s="294">
        <v>21.5</v>
      </c>
      <c r="G1050" s="294">
        <v>21.9</v>
      </c>
      <c r="H1050" s="294"/>
      <c r="I1050" s="294"/>
      <c r="J1050" s="294"/>
      <c r="K1050" s="294">
        <f t="shared" si="142"/>
        <v>1.984</v>
      </c>
      <c r="L1050" s="294">
        <f t="shared" si="143"/>
        <v>0.69828547686607079</v>
      </c>
      <c r="M1050" s="297">
        <f t="shared" si="160"/>
        <v>7.4762259716834745</v>
      </c>
      <c r="N1050" s="294">
        <v>0</v>
      </c>
      <c r="O1050" s="294" t="str">
        <f t="shared" si="158"/>
        <v/>
      </c>
      <c r="P1050" s="294"/>
    </row>
    <row r="1051" spans="1:16">
      <c r="A1051" s="294"/>
      <c r="B1051" s="294" t="s">
        <v>598</v>
      </c>
      <c r="C1051" s="294" t="s">
        <v>598</v>
      </c>
      <c r="D1051" s="295" t="s">
        <v>1063</v>
      </c>
      <c r="E1051" s="296">
        <v>6</v>
      </c>
      <c r="F1051" s="294">
        <v>22.9</v>
      </c>
      <c r="G1051" s="294">
        <v>16.600000000000001</v>
      </c>
      <c r="H1051" s="294"/>
      <c r="I1051" s="294"/>
      <c r="J1051" s="294"/>
      <c r="K1051" s="294">
        <f t="shared" si="142"/>
        <v>1.9504000000000001</v>
      </c>
      <c r="L1051" s="294">
        <f t="shared" si="143"/>
        <v>0.71372556847664814</v>
      </c>
      <c r="M1051" s="297">
        <f t="shared" si="160"/>
        <v>5.8559750211334398</v>
      </c>
      <c r="N1051" s="294">
        <v>0</v>
      </c>
      <c r="O1051" s="294" t="str">
        <f t="shared" si="158"/>
        <v/>
      </c>
      <c r="P1051" s="294"/>
    </row>
    <row r="1052" spans="1:16">
      <c r="A1052" s="294"/>
      <c r="B1052" s="294" t="s">
        <v>598</v>
      </c>
      <c r="C1052" s="294" t="s">
        <v>598</v>
      </c>
      <c r="D1052" s="295" t="s">
        <v>1063</v>
      </c>
      <c r="E1052" s="296">
        <v>7</v>
      </c>
      <c r="F1052" s="294">
        <v>27</v>
      </c>
      <c r="G1052" s="294">
        <v>17.5</v>
      </c>
      <c r="H1052" s="294"/>
      <c r="I1052" s="294"/>
      <c r="J1052" s="294"/>
      <c r="K1052" s="294">
        <f t="shared" si="142"/>
        <v>1.8519999999999999</v>
      </c>
      <c r="L1052" s="294">
        <f t="shared" si="143"/>
        <v>0.75524020561421423</v>
      </c>
      <c r="M1052" s="297">
        <f t="shared" si="160"/>
        <v>6.9093574349150977</v>
      </c>
      <c r="N1052" s="294">
        <v>1</v>
      </c>
      <c r="O1052" s="294">
        <f t="shared" si="158"/>
        <v>6.9093574349150977</v>
      </c>
      <c r="P1052" s="294"/>
    </row>
    <row r="1053" spans="1:16">
      <c r="A1053" s="294"/>
      <c r="B1053" s="294" t="s">
        <v>598</v>
      </c>
      <c r="C1053" s="294" t="s">
        <v>598</v>
      </c>
      <c r="D1053" s="295" t="s">
        <v>1063</v>
      </c>
      <c r="E1053" s="296">
        <v>8</v>
      </c>
      <c r="F1053" s="294">
        <v>28.6</v>
      </c>
      <c r="G1053" s="294">
        <v>18.5</v>
      </c>
      <c r="H1053" s="294"/>
      <c r="I1053" s="294"/>
      <c r="J1053" s="294"/>
      <c r="K1053" s="294">
        <f t="shared" si="142"/>
        <v>1.8136000000000001</v>
      </c>
      <c r="L1053" s="294">
        <f t="shared" si="143"/>
        <v>0.7699211069844899</v>
      </c>
      <c r="M1053" s="297">
        <f t="shared" si="160"/>
        <v>7.6209087755730902</v>
      </c>
      <c r="N1053" s="294">
        <v>1</v>
      </c>
      <c r="O1053" s="294">
        <f t="shared" si="158"/>
        <v>7.6209087755730902</v>
      </c>
      <c r="P1053" s="294"/>
    </row>
    <row r="1054" spans="1:16">
      <c r="A1054" s="294"/>
      <c r="B1054" s="294" t="s">
        <v>598</v>
      </c>
      <c r="C1054" s="294" t="s">
        <v>598</v>
      </c>
      <c r="D1054" s="295" t="s">
        <v>1063</v>
      </c>
      <c r="E1054" s="296">
        <v>9</v>
      </c>
      <c r="F1054" s="294">
        <v>23.2</v>
      </c>
      <c r="G1054" s="294">
        <v>14.2</v>
      </c>
      <c r="H1054" s="294"/>
      <c r="I1054" s="294"/>
      <c r="J1054" s="294"/>
      <c r="K1054" s="294">
        <f t="shared" si="142"/>
        <v>1.9432</v>
      </c>
      <c r="L1054" s="294">
        <f t="shared" si="143"/>
        <v>0.71695168352445504</v>
      </c>
      <c r="M1054" s="297">
        <f t="shared" si="160"/>
        <v>5.0272355881015249</v>
      </c>
      <c r="N1054" s="294">
        <v>0</v>
      </c>
      <c r="O1054" s="294" t="str">
        <f t="shared" si="158"/>
        <v/>
      </c>
      <c r="P1054" s="294"/>
    </row>
    <row r="1055" spans="1:16">
      <c r="A1055" s="294"/>
      <c r="B1055" s="294" t="s">
        <v>598</v>
      </c>
      <c r="C1055" s="294" t="s">
        <v>598</v>
      </c>
      <c r="D1055" s="295" t="s">
        <v>1063</v>
      </c>
      <c r="E1055" s="296">
        <v>10</v>
      </c>
      <c r="F1055" s="294">
        <v>19</v>
      </c>
      <c r="G1055" s="294">
        <v>14.4</v>
      </c>
      <c r="H1055" s="294"/>
      <c r="I1055" s="294"/>
      <c r="J1055" s="294"/>
      <c r="K1055" s="294">
        <f t="shared" si="142"/>
        <v>2.044</v>
      </c>
      <c r="L1055" s="294">
        <f t="shared" si="143"/>
        <v>0.66918429216402076</v>
      </c>
      <c r="M1055" s="297">
        <f t="shared" si="160"/>
        <v>4.5066946069983382</v>
      </c>
      <c r="N1055" s="294">
        <v>0</v>
      </c>
      <c r="O1055" s="294" t="str">
        <f t="shared" si="158"/>
        <v/>
      </c>
      <c r="P1055" s="294"/>
    </row>
    <row r="1056" spans="1:16">
      <c r="A1056" s="294"/>
      <c r="B1056" s="294" t="s">
        <v>598</v>
      </c>
      <c r="C1056" s="294" t="s">
        <v>598</v>
      </c>
      <c r="D1056" s="295" t="s">
        <v>1063</v>
      </c>
      <c r="E1056" s="296">
        <v>11</v>
      </c>
      <c r="F1056" s="294">
        <v>15.2</v>
      </c>
      <c r="G1056" s="294">
        <v>8.1</v>
      </c>
      <c r="H1056" s="294"/>
      <c r="I1056" s="294"/>
      <c r="J1056" s="294"/>
      <c r="K1056" s="294">
        <f t="shared" si="142"/>
        <v>2.1352000000000002</v>
      </c>
      <c r="L1056" s="294">
        <f t="shared" si="143"/>
        <v>0.62150446245737101</v>
      </c>
      <c r="M1056" s="297">
        <f t="shared" si="160"/>
        <v>2.1688500640396531</v>
      </c>
      <c r="N1056" s="294">
        <v>0</v>
      </c>
      <c r="O1056" s="294" t="str">
        <f t="shared" si="158"/>
        <v/>
      </c>
      <c r="P1056" s="294"/>
    </row>
    <row r="1057" spans="1:16">
      <c r="A1057" s="294"/>
      <c r="B1057" s="294" t="s">
        <v>598</v>
      </c>
      <c r="C1057" s="294" t="s">
        <v>598</v>
      </c>
      <c r="D1057" s="295" t="s">
        <v>1063</v>
      </c>
      <c r="E1057" s="296">
        <v>12</v>
      </c>
      <c r="F1057" s="294">
        <v>10.1</v>
      </c>
      <c r="G1057" s="294">
        <v>8</v>
      </c>
      <c r="H1057" s="294"/>
      <c r="I1057" s="294"/>
      <c r="J1057" s="294"/>
      <c r="K1057" s="294">
        <f t="shared" si="142"/>
        <v>2.2576000000000001</v>
      </c>
      <c r="L1057" s="294">
        <f t="shared" si="143"/>
        <v>0.5522845613647327</v>
      </c>
      <c r="M1057" s="297">
        <f t="shared" si="160"/>
        <v>1.7714113567463317</v>
      </c>
      <c r="N1057" s="294">
        <v>0</v>
      </c>
      <c r="O1057" s="294" t="str">
        <f t="shared" si="158"/>
        <v/>
      </c>
      <c r="P1057" s="294"/>
    </row>
    <row r="1058" spans="1:16">
      <c r="A1058" s="294">
        <v>89</v>
      </c>
      <c r="B1058" s="294" t="s">
        <v>599</v>
      </c>
      <c r="C1058" s="294" t="s">
        <v>365</v>
      </c>
      <c r="D1058" s="295" t="s">
        <v>1063</v>
      </c>
      <c r="E1058" s="296">
        <v>1</v>
      </c>
      <c r="F1058" s="294">
        <v>6.3</v>
      </c>
      <c r="G1058" s="308">
        <f t="shared" ref="G1058:G1105" si="161">$T$11+$T$12*H1058+INDEX($T$13:$T$24,MATCH(E1058,$S$13:$S$24,0),1)</f>
        <v>1.9996768000000005</v>
      </c>
      <c r="H1058" s="308"/>
      <c r="I1058" s="306">
        <v>0.873</v>
      </c>
      <c r="J1058" s="307">
        <v>0.48</v>
      </c>
      <c r="K1058" s="294">
        <f t="shared" si="142"/>
        <v>2.3487999999999998</v>
      </c>
      <c r="L1058" s="294">
        <f t="shared" si="143"/>
        <v>0.4982788821546576</v>
      </c>
      <c r="M1058" s="309">
        <f>$I$1058*L1058*(G1058/K1058)+$J$1058</f>
        <v>0.85033989146016209</v>
      </c>
      <c r="N1058" s="294">
        <v>0</v>
      </c>
      <c r="O1058" s="294" t="str">
        <f t="shared" si="158"/>
        <v/>
      </c>
      <c r="P1058" s="294">
        <f>AVERAGE(O1058:O1069)</f>
        <v>3.7426155290511312</v>
      </c>
    </row>
    <row r="1059" spans="1:16">
      <c r="A1059" s="294"/>
      <c r="B1059" s="294" t="s">
        <v>599</v>
      </c>
      <c r="C1059" s="294" t="s">
        <v>365</v>
      </c>
      <c r="D1059" s="295" t="s">
        <v>1063</v>
      </c>
      <c r="E1059" s="296">
        <v>2</v>
      </c>
      <c r="F1059" s="294">
        <v>6.8</v>
      </c>
      <c r="G1059" s="308">
        <f t="shared" si="161"/>
        <v>4.4199175999999998</v>
      </c>
      <c r="H1059" s="308"/>
      <c r="I1059" s="294"/>
      <c r="J1059" s="294"/>
      <c r="K1059" s="294">
        <f t="shared" si="142"/>
        <v>2.3368000000000002</v>
      </c>
      <c r="L1059" s="294">
        <f t="shared" si="143"/>
        <v>0.50544832057472966</v>
      </c>
      <c r="M1059" s="309">
        <f t="shared" ref="M1059:M1069" si="162">$I$1058*L1059*(G1059/K1059)+$J$1058</f>
        <v>1.3146100894996815</v>
      </c>
      <c r="N1059" s="294">
        <v>0</v>
      </c>
      <c r="O1059" s="294" t="str">
        <f t="shared" si="158"/>
        <v/>
      </c>
      <c r="P1059" s="294"/>
    </row>
    <row r="1060" spans="1:16">
      <c r="A1060" s="294"/>
      <c r="B1060" s="294" t="s">
        <v>599</v>
      </c>
      <c r="C1060" s="294" t="s">
        <v>365</v>
      </c>
      <c r="D1060" s="295" t="s">
        <v>1063</v>
      </c>
      <c r="E1060" s="296">
        <v>3</v>
      </c>
      <c r="F1060" s="294">
        <v>10.199999999999999</v>
      </c>
      <c r="G1060" s="308">
        <f t="shared" si="161"/>
        <v>6.0525017000000005</v>
      </c>
      <c r="H1060" s="308"/>
      <c r="I1060" s="294"/>
      <c r="J1060" s="294"/>
      <c r="K1060" s="294">
        <f t="shared" si="142"/>
        <v>2.2551999999999999</v>
      </c>
      <c r="L1060" s="294">
        <f t="shared" si="143"/>
        <v>0.55368525424125736</v>
      </c>
      <c r="M1060" s="309">
        <f t="shared" si="162"/>
        <v>1.7772600934972529</v>
      </c>
      <c r="N1060" s="294">
        <v>0</v>
      </c>
      <c r="O1060" s="294" t="str">
        <f t="shared" si="158"/>
        <v/>
      </c>
      <c r="P1060" s="294"/>
    </row>
    <row r="1061" spans="1:16">
      <c r="A1061" s="294"/>
      <c r="B1061" s="294" t="s">
        <v>599</v>
      </c>
      <c r="C1061" s="294" t="s">
        <v>365</v>
      </c>
      <c r="D1061" s="295" t="s">
        <v>1063</v>
      </c>
      <c r="E1061" s="296">
        <v>4</v>
      </c>
      <c r="F1061" s="294">
        <v>16</v>
      </c>
      <c r="G1061" s="308">
        <f t="shared" si="161"/>
        <v>7.969462</v>
      </c>
      <c r="H1061" s="308"/>
      <c r="I1061" s="294"/>
      <c r="J1061" s="294"/>
      <c r="K1061" s="294">
        <f t="shared" si="142"/>
        <v>2.1160000000000001</v>
      </c>
      <c r="L1061" s="294">
        <f t="shared" si="143"/>
        <v>0.63185951626122749</v>
      </c>
      <c r="M1061" s="309">
        <f t="shared" si="162"/>
        <v>2.5575338813095891</v>
      </c>
      <c r="N1061" s="294">
        <v>0</v>
      </c>
      <c r="O1061" s="294" t="str">
        <f t="shared" si="158"/>
        <v/>
      </c>
      <c r="P1061" s="294"/>
    </row>
    <row r="1062" spans="1:16">
      <c r="A1062" s="294"/>
      <c r="B1062" s="294" t="s">
        <v>599</v>
      </c>
      <c r="C1062" s="294" t="s">
        <v>365</v>
      </c>
      <c r="D1062" s="295" t="s">
        <v>1063</v>
      </c>
      <c r="E1062" s="296">
        <v>5</v>
      </c>
      <c r="F1062" s="294">
        <v>21.1</v>
      </c>
      <c r="G1062" s="308">
        <f t="shared" si="161"/>
        <v>9.763087800000001</v>
      </c>
      <c r="H1062" s="308"/>
      <c r="I1062" s="294"/>
      <c r="J1062" s="294"/>
      <c r="K1062" s="294">
        <f t="shared" si="142"/>
        <v>1.9935999999999998</v>
      </c>
      <c r="L1062" s="294">
        <f t="shared" si="143"/>
        <v>0.69375912088466873</v>
      </c>
      <c r="M1062" s="309">
        <f t="shared" si="162"/>
        <v>3.446006644097793</v>
      </c>
      <c r="N1062" s="294">
        <v>0</v>
      </c>
      <c r="O1062" s="294" t="str">
        <f t="shared" si="158"/>
        <v/>
      </c>
      <c r="P1062" s="294"/>
    </row>
    <row r="1063" spans="1:16">
      <c r="A1063" s="294"/>
      <c r="B1063" s="294" t="s">
        <v>599</v>
      </c>
      <c r="C1063" s="294" t="s">
        <v>365</v>
      </c>
      <c r="D1063" s="295" t="s">
        <v>1063</v>
      </c>
      <c r="E1063" s="296">
        <v>6</v>
      </c>
      <c r="F1063" s="294">
        <v>22.7</v>
      </c>
      <c r="G1063" s="308">
        <f t="shared" si="161"/>
        <v>9.8467880000000001</v>
      </c>
      <c r="H1063" s="308"/>
      <c r="I1063" s="294"/>
      <c r="J1063" s="294"/>
      <c r="K1063" s="294">
        <f t="shared" si="142"/>
        <v>1.9552</v>
      </c>
      <c r="L1063" s="294">
        <f t="shared" si="143"/>
        <v>0.71155854365220816</v>
      </c>
      <c r="M1063" s="309">
        <f t="shared" si="162"/>
        <v>3.608443243943162</v>
      </c>
      <c r="N1063" s="294">
        <v>0</v>
      </c>
      <c r="O1063" s="294" t="str">
        <f t="shared" si="158"/>
        <v/>
      </c>
      <c r="P1063" s="294"/>
    </row>
    <row r="1064" spans="1:16">
      <c r="A1064" s="294"/>
      <c r="B1064" s="294" t="s">
        <v>599</v>
      </c>
      <c r="C1064" s="294" t="s">
        <v>365</v>
      </c>
      <c r="D1064" s="295" t="s">
        <v>1063</v>
      </c>
      <c r="E1064" s="296">
        <v>7</v>
      </c>
      <c r="F1064" s="294">
        <v>26.6</v>
      </c>
      <c r="G1064" s="308">
        <f t="shared" si="161"/>
        <v>9.446059</v>
      </c>
      <c r="H1064" s="308"/>
      <c r="I1064" s="294"/>
      <c r="J1064" s="294"/>
      <c r="K1064" s="294">
        <f t="shared" si="142"/>
        <v>1.8615999999999999</v>
      </c>
      <c r="L1064" s="294">
        <f t="shared" si="143"/>
        <v>0.75143645769154999</v>
      </c>
      <c r="M1064" s="309">
        <f t="shared" si="162"/>
        <v>3.8086703634583161</v>
      </c>
      <c r="N1064" s="294">
        <v>1</v>
      </c>
      <c r="O1064" s="294">
        <f t="shared" si="158"/>
        <v>3.8086703634583161</v>
      </c>
      <c r="P1064" s="294"/>
    </row>
    <row r="1065" spans="1:16">
      <c r="A1065" s="294"/>
      <c r="B1065" s="294" t="s">
        <v>599</v>
      </c>
      <c r="C1065" s="294" t="s">
        <v>365</v>
      </c>
      <c r="D1065" s="295" t="s">
        <v>1063</v>
      </c>
      <c r="E1065" s="296">
        <v>8</v>
      </c>
      <c r="F1065" s="294">
        <v>28.3</v>
      </c>
      <c r="G1065" s="308">
        <f t="shared" si="161"/>
        <v>8.6896734999999996</v>
      </c>
      <c r="H1065" s="308"/>
      <c r="I1065" s="294"/>
      <c r="J1065" s="294"/>
      <c r="K1065" s="294">
        <f t="shared" si="142"/>
        <v>1.8208</v>
      </c>
      <c r="L1065" s="294">
        <f t="shared" si="143"/>
        <v>0.76723339367766763</v>
      </c>
      <c r="M1065" s="309">
        <f t="shared" si="162"/>
        <v>3.6765606946439462</v>
      </c>
      <c r="N1065" s="294">
        <v>1</v>
      </c>
      <c r="O1065" s="294">
        <f t="shared" si="158"/>
        <v>3.6765606946439462</v>
      </c>
      <c r="P1065" s="294"/>
    </row>
    <row r="1066" spans="1:16">
      <c r="A1066" s="294"/>
      <c r="B1066" s="294" t="s">
        <v>599</v>
      </c>
      <c r="C1066" s="294" t="s">
        <v>365</v>
      </c>
      <c r="D1066" s="295" t="s">
        <v>1063</v>
      </c>
      <c r="E1066" s="296">
        <v>9</v>
      </c>
      <c r="F1066" s="294">
        <v>23.6</v>
      </c>
      <c r="G1066" s="308">
        <f t="shared" si="161"/>
        <v>6.9244161999999996</v>
      </c>
      <c r="H1066" s="308"/>
      <c r="I1066" s="294"/>
      <c r="J1066" s="294"/>
      <c r="K1066" s="294">
        <f t="shared" si="142"/>
        <v>1.9336</v>
      </c>
      <c r="L1066" s="294">
        <f t="shared" si="143"/>
        <v>0.72120738477570068</v>
      </c>
      <c r="M1066" s="309">
        <f t="shared" si="162"/>
        <v>2.7347112671522193</v>
      </c>
      <c r="N1066" s="294">
        <v>0</v>
      </c>
      <c r="O1066" s="294" t="str">
        <f t="shared" si="158"/>
        <v/>
      </c>
      <c r="P1066" s="294"/>
    </row>
    <row r="1067" spans="1:16">
      <c r="A1067" s="294"/>
      <c r="B1067" s="294" t="s">
        <v>599</v>
      </c>
      <c r="C1067" s="294" t="s">
        <v>365</v>
      </c>
      <c r="D1067" s="295" t="s">
        <v>1063</v>
      </c>
      <c r="E1067" s="296">
        <v>10</v>
      </c>
      <c r="F1067" s="294">
        <v>19.399999999999999</v>
      </c>
      <c r="G1067" s="308">
        <f t="shared" si="161"/>
        <v>3.9141311999999999</v>
      </c>
      <c r="H1067" s="308"/>
      <c r="I1067" s="294"/>
      <c r="J1067" s="294"/>
      <c r="K1067" s="294">
        <f t="shared" si="142"/>
        <v>2.0344000000000002</v>
      </c>
      <c r="L1067" s="294">
        <f t="shared" si="143"/>
        <v>0.67396814722434939</v>
      </c>
      <c r="M1067" s="309">
        <f t="shared" si="162"/>
        <v>1.6120162132541178</v>
      </c>
      <c r="N1067" s="294">
        <v>0</v>
      </c>
      <c r="O1067" s="294" t="str">
        <f t="shared" si="158"/>
        <v/>
      </c>
      <c r="P1067" s="294"/>
    </row>
    <row r="1068" spans="1:16">
      <c r="A1068" s="294"/>
      <c r="B1068" s="294" t="s">
        <v>599</v>
      </c>
      <c r="C1068" s="294" t="s">
        <v>365</v>
      </c>
      <c r="D1068" s="295" t="s">
        <v>1063</v>
      </c>
      <c r="E1068" s="296">
        <v>11</v>
      </c>
      <c r="F1068" s="294">
        <v>15.7</v>
      </c>
      <c r="G1068" s="308">
        <f t="shared" si="161"/>
        <v>2.5891289999999998</v>
      </c>
      <c r="H1068" s="308"/>
      <c r="I1068" s="294"/>
      <c r="J1068" s="294"/>
      <c r="K1068" s="294">
        <f t="shared" si="142"/>
        <v>2.1232000000000002</v>
      </c>
      <c r="L1068" s="294">
        <f t="shared" si="143"/>
        <v>0.62799494455985572</v>
      </c>
      <c r="M1068" s="309">
        <f t="shared" si="162"/>
        <v>1.1485488944122189</v>
      </c>
      <c r="N1068" s="294">
        <v>0</v>
      </c>
      <c r="O1068" s="294" t="str">
        <f t="shared" si="158"/>
        <v/>
      </c>
      <c r="P1068" s="294"/>
    </row>
    <row r="1069" spans="1:16">
      <c r="A1069" s="294"/>
      <c r="B1069" s="294" t="s">
        <v>599</v>
      </c>
      <c r="C1069" s="294" t="s">
        <v>365</v>
      </c>
      <c r="D1069" s="295" t="s">
        <v>1063</v>
      </c>
      <c r="E1069" s="296">
        <v>12</v>
      </c>
      <c r="F1069" s="294">
        <v>10.4</v>
      </c>
      <c r="G1069" s="308">
        <f t="shared" si="161"/>
        <v>1.3030549999999996</v>
      </c>
      <c r="H1069" s="308"/>
      <c r="I1069" s="294"/>
      <c r="J1069" s="294"/>
      <c r="K1069" s="294">
        <f t="shared" si="142"/>
        <v>2.2504</v>
      </c>
      <c r="L1069" s="294">
        <f t="shared" si="143"/>
        <v>0.55648248816913681</v>
      </c>
      <c r="M1069" s="309">
        <f t="shared" si="162"/>
        <v>0.76129937920651325</v>
      </c>
      <c r="N1069" s="294">
        <v>0</v>
      </c>
      <c r="O1069" s="294" t="str">
        <f t="shared" si="158"/>
        <v/>
      </c>
      <c r="P1069" s="294"/>
    </row>
    <row r="1070" spans="1:16">
      <c r="A1070" s="294">
        <v>90</v>
      </c>
      <c r="B1070" s="294" t="s">
        <v>599</v>
      </c>
      <c r="C1070" s="294" t="s">
        <v>361</v>
      </c>
      <c r="D1070" s="295" t="s">
        <v>1063</v>
      </c>
      <c r="E1070" s="296">
        <v>1</v>
      </c>
      <c r="F1070" s="294">
        <v>3.6</v>
      </c>
      <c r="G1070" s="308">
        <f t="shared" si="161"/>
        <v>4.0617010900000006</v>
      </c>
      <c r="H1070" s="294">
        <v>45.3</v>
      </c>
      <c r="I1070" s="306">
        <v>1.069</v>
      </c>
      <c r="J1070" s="307">
        <v>-0.28999999999999998</v>
      </c>
      <c r="K1070" s="294">
        <f t="shared" si="142"/>
        <v>2.4136000000000002</v>
      </c>
      <c r="L1070" s="294">
        <f t="shared" si="143"/>
        <v>0.45947304623914176</v>
      </c>
      <c r="M1070" s="309">
        <f>$I$1070*L1070*(G1070/K1070)+$J$1070</f>
        <v>0.5365714628164846</v>
      </c>
      <c r="N1070" s="294">
        <v>0</v>
      </c>
      <c r="O1070" s="294" t="str">
        <f t="shared" si="158"/>
        <v/>
      </c>
      <c r="P1070" s="294">
        <f>AVERAGE(O1070:O1081)</f>
        <v>6.6856837187679758</v>
      </c>
    </row>
    <row r="1071" spans="1:16">
      <c r="A1071" s="294"/>
      <c r="B1071" s="294" t="s">
        <v>599</v>
      </c>
      <c r="C1071" s="294" t="s">
        <v>361</v>
      </c>
      <c r="D1071" s="295" t="s">
        <v>1063</v>
      </c>
      <c r="E1071" s="296">
        <v>2</v>
      </c>
      <c r="F1071" s="294">
        <v>4.3</v>
      </c>
      <c r="G1071" s="308">
        <f t="shared" si="161"/>
        <v>7.2239064800000001</v>
      </c>
      <c r="H1071" s="294">
        <v>61.6</v>
      </c>
      <c r="I1071" s="297"/>
      <c r="J1071" s="297"/>
      <c r="K1071" s="294">
        <f t="shared" si="142"/>
        <v>2.3967999999999998</v>
      </c>
      <c r="L1071" s="294">
        <f t="shared" si="143"/>
        <v>0.46953327364651853</v>
      </c>
      <c r="M1071" s="309">
        <f t="shared" ref="M1071:M1081" si="163">$I$1070*L1071*(G1071/K1071)+$J$1070</f>
        <v>1.222810040753328</v>
      </c>
      <c r="N1071" s="294">
        <v>0</v>
      </c>
      <c r="O1071" s="294" t="str">
        <f t="shared" si="158"/>
        <v/>
      </c>
      <c r="P1071" s="294"/>
    </row>
    <row r="1072" spans="1:16">
      <c r="A1072" s="294"/>
      <c r="B1072" s="294" t="s">
        <v>599</v>
      </c>
      <c r="C1072" s="294" t="s">
        <v>361</v>
      </c>
      <c r="D1072" s="295" t="s">
        <v>1063</v>
      </c>
      <c r="E1072" s="296">
        <v>3</v>
      </c>
      <c r="F1072" s="294">
        <v>7.5</v>
      </c>
      <c r="G1072" s="308">
        <f t="shared" si="161"/>
        <v>12.056497370000001</v>
      </c>
      <c r="H1072" s="294">
        <v>131.9</v>
      </c>
      <c r="I1072" s="297"/>
      <c r="J1072" s="297"/>
      <c r="K1072" s="294">
        <f t="shared" si="142"/>
        <v>2.3199999999999998</v>
      </c>
      <c r="L1072" s="294">
        <f t="shared" si="143"/>
        <v>0.51546248616696222</v>
      </c>
      <c r="M1072" s="309">
        <f t="shared" si="163"/>
        <v>2.5735708984108752</v>
      </c>
      <c r="N1072" s="294">
        <v>0</v>
      </c>
      <c r="O1072" s="294" t="str">
        <f t="shared" si="158"/>
        <v/>
      </c>
      <c r="P1072" s="294"/>
    </row>
    <row r="1073" spans="1:16">
      <c r="A1073" s="294"/>
      <c r="B1073" s="294" t="s">
        <v>599</v>
      </c>
      <c r="C1073" s="294" t="s">
        <v>361</v>
      </c>
      <c r="D1073" s="295" t="s">
        <v>1063</v>
      </c>
      <c r="E1073" s="296">
        <v>4</v>
      </c>
      <c r="F1073" s="294">
        <v>13.7</v>
      </c>
      <c r="G1073" s="308">
        <f t="shared" si="161"/>
        <v>15.516561940000001</v>
      </c>
      <c r="H1073" s="294">
        <v>165.8</v>
      </c>
      <c r="I1073" s="297"/>
      <c r="J1073" s="297"/>
      <c r="K1073" s="294">
        <f t="shared" si="142"/>
        <v>2.1711999999999998</v>
      </c>
      <c r="L1073" s="294">
        <f t="shared" si="143"/>
        <v>0.60168134217309577</v>
      </c>
      <c r="M1073" s="309">
        <f t="shared" si="163"/>
        <v>4.3066339329104579</v>
      </c>
      <c r="N1073" s="294">
        <v>0</v>
      </c>
      <c r="O1073" s="294" t="str">
        <f t="shared" si="158"/>
        <v/>
      </c>
      <c r="P1073" s="294"/>
    </row>
    <row r="1074" spans="1:16">
      <c r="A1074" s="294"/>
      <c r="B1074" s="294" t="s">
        <v>599</v>
      </c>
      <c r="C1074" s="294" t="s">
        <v>361</v>
      </c>
      <c r="D1074" s="295" t="s">
        <v>1063</v>
      </c>
      <c r="E1074" s="296">
        <v>5</v>
      </c>
      <c r="F1074" s="294">
        <v>19.100000000000001</v>
      </c>
      <c r="G1074" s="308">
        <f t="shared" si="161"/>
        <v>21.065529990000002</v>
      </c>
      <c r="H1074" s="294">
        <v>248.3</v>
      </c>
      <c r="I1074" s="297"/>
      <c r="J1074" s="297"/>
      <c r="K1074" s="294">
        <f t="shared" si="142"/>
        <v>2.0415999999999999</v>
      </c>
      <c r="L1074" s="294">
        <f t="shared" si="143"/>
        <v>0.67038469647805343</v>
      </c>
      <c r="M1074" s="309">
        <f t="shared" si="163"/>
        <v>7.1044100433785617</v>
      </c>
      <c r="N1074" s="294">
        <v>0</v>
      </c>
      <c r="O1074" s="294" t="str">
        <f t="shared" si="158"/>
        <v/>
      </c>
      <c r="P1074" s="294"/>
    </row>
    <row r="1075" spans="1:16">
      <c r="A1075" s="294"/>
      <c r="B1075" s="294" t="s">
        <v>599</v>
      </c>
      <c r="C1075" s="294" t="s">
        <v>361</v>
      </c>
      <c r="D1075" s="295" t="s">
        <v>1063</v>
      </c>
      <c r="E1075" s="296">
        <v>6</v>
      </c>
      <c r="F1075" s="294">
        <v>21.4</v>
      </c>
      <c r="G1075" s="308">
        <f t="shared" si="161"/>
        <v>15.41835032</v>
      </c>
      <c r="H1075" s="294">
        <v>122.4</v>
      </c>
      <c r="I1075" s="297"/>
      <c r="J1075" s="297"/>
      <c r="K1075" s="294">
        <f t="shared" si="142"/>
        <v>1.9864000000000002</v>
      </c>
      <c r="L1075" s="294">
        <f t="shared" si="143"/>
        <v>0.69715862454510524</v>
      </c>
      <c r="M1075" s="309">
        <f t="shared" si="163"/>
        <v>5.4946956197508765</v>
      </c>
      <c r="N1075" s="294">
        <v>0</v>
      </c>
      <c r="O1075" s="294" t="str">
        <f t="shared" si="158"/>
        <v/>
      </c>
      <c r="P1075" s="294"/>
    </row>
    <row r="1076" spans="1:16">
      <c r="A1076" s="294"/>
      <c r="B1076" s="294" t="s">
        <v>599</v>
      </c>
      <c r="C1076" s="294" t="s">
        <v>361</v>
      </c>
      <c r="D1076" s="295" t="s">
        <v>1063</v>
      </c>
      <c r="E1076" s="296">
        <v>7</v>
      </c>
      <c r="F1076" s="294">
        <v>26</v>
      </c>
      <c r="G1076" s="308">
        <f t="shared" si="161"/>
        <v>15.69585889</v>
      </c>
      <c r="H1076" s="294">
        <v>137.30000000000001</v>
      </c>
      <c r="I1076" s="297"/>
      <c r="J1076" s="297"/>
      <c r="K1076" s="294">
        <f t="shared" si="142"/>
        <v>1.8759999999999999</v>
      </c>
      <c r="L1076" s="294">
        <f t="shared" si="143"/>
        <v>0.74563054537472673</v>
      </c>
      <c r="M1076" s="309">
        <f t="shared" si="163"/>
        <v>6.3788914393126106</v>
      </c>
      <c r="N1076" s="294">
        <v>1</v>
      </c>
      <c r="O1076" s="294">
        <f t="shared" si="158"/>
        <v>6.3788914393126106</v>
      </c>
      <c r="P1076" s="294"/>
    </row>
    <row r="1077" spans="1:16">
      <c r="A1077" s="294"/>
      <c r="B1077" s="294" t="s">
        <v>599</v>
      </c>
      <c r="C1077" s="294" t="s">
        <v>361</v>
      </c>
      <c r="D1077" s="295" t="s">
        <v>1063</v>
      </c>
      <c r="E1077" s="296">
        <v>8</v>
      </c>
      <c r="F1077" s="294">
        <v>26.2</v>
      </c>
      <c r="G1077" s="308">
        <f t="shared" si="161"/>
        <v>17.05156891</v>
      </c>
      <c r="H1077" s="294">
        <v>183.7</v>
      </c>
      <c r="I1077" s="297"/>
      <c r="J1077" s="297"/>
      <c r="K1077" s="294">
        <f t="shared" si="142"/>
        <v>1.8712</v>
      </c>
      <c r="L1077" s="294">
        <f t="shared" si="143"/>
        <v>0.74757921999786014</v>
      </c>
      <c r="M1077" s="309">
        <f t="shared" si="163"/>
        <v>6.9924759982233411</v>
      </c>
      <c r="N1077" s="294">
        <v>1</v>
      </c>
      <c r="O1077" s="294">
        <f t="shared" si="158"/>
        <v>6.9924759982233411</v>
      </c>
      <c r="P1077" s="294"/>
    </row>
    <row r="1078" spans="1:16">
      <c r="A1078" s="294"/>
      <c r="B1078" s="294" t="s">
        <v>599</v>
      </c>
      <c r="C1078" s="294" t="s">
        <v>361</v>
      </c>
      <c r="D1078" s="295" t="s">
        <v>1063</v>
      </c>
      <c r="E1078" s="296">
        <v>9</v>
      </c>
      <c r="F1078" s="294">
        <v>20.8</v>
      </c>
      <c r="G1078" s="308">
        <f t="shared" si="161"/>
        <v>11.954298850000001</v>
      </c>
      <c r="H1078" s="294">
        <v>110.5</v>
      </c>
      <c r="I1078" s="297"/>
      <c r="J1078" s="297"/>
      <c r="K1078" s="294">
        <f t="shared" si="142"/>
        <v>2.0007999999999999</v>
      </c>
      <c r="L1078" s="294">
        <f t="shared" si="143"/>
        <v>0.69033135678862079</v>
      </c>
      <c r="M1078" s="309">
        <f t="shared" si="163"/>
        <v>4.1191587521756166</v>
      </c>
      <c r="N1078" s="294">
        <v>0</v>
      </c>
      <c r="O1078" s="294" t="str">
        <f t="shared" si="158"/>
        <v/>
      </c>
      <c r="P1078" s="294"/>
    </row>
    <row r="1079" spans="1:16">
      <c r="A1079" s="294"/>
      <c r="B1079" s="294" t="s">
        <v>599</v>
      </c>
      <c r="C1079" s="294" t="s">
        <v>361</v>
      </c>
      <c r="D1079" s="295" t="s">
        <v>1063</v>
      </c>
      <c r="E1079" s="296">
        <v>10</v>
      </c>
      <c r="F1079" s="294">
        <v>15.6</v>
      </c>
      <c r="G1079" s="308">
        <f t="shared" si="161"/>
        <v>11.570477459999999</v>
      </c>
      <c r="H1079" s="294">
        <v>168.2</v>
      </c>
      <c r="I1079" s="297"/>
      <c r="J1079" s="297"/>
      <c r="K1079" s="294">
        <f t="shared" si="142"/>
        <v>2.1255999999999999</v>
      </c>
      <c r="L1079" s="294">
        <f t="shared" si="143"/>
        <v>0.62670175707655418</v>
      </c>
      <c r="M1079" s="309">
        <f t="shared" si="163"/>
        <v>3.356769860110103</v>
      </c>
      <c r="N1079" s="294">
        <v>0</v>
      </c>
      <c r="O1079" s="294" t="str">
        <f t="shared" si="158"/>
        <v/>
      </c>
      <c r="P1079" s="294"/>
    </row>
    <row r="1080" spans="1:16">
      <c r="A1080" s="294"/>
      <c r="B1080" s="294" t="s">
        <v>599</v>
      </c>
      <c r="C1080" s="294" t="s">
        <v>361</v>
      </c>
      <c r="D1080" s="295" t="s">
        <v>1063</v>
      </c>
      <c r="E1080" s="296">
        <v>11</v>
      </c>
      <c r="F1080" s="294">
        <v>13</v>
      </c>
      <c r="G1080" s="308">
        <f t="shared" si="161"/>
        <v>5.9393494799999988</v>
      </c>
      <c r="H1080" s="294">
        <v>73.599999999999994</v>
      </c>
      <c r="I1080" s="297"/>
      <c r="J1080" s="297"/>
      <c r="K1080" s="294">
        <f t="shared" si="142"/>
        <v>2.1880000000000002</v>
      </c>
      <c r="L1080" s="294">
        <f t="shared" si="143"/>
        <v>0.59226272182177631</v>
      </c>
      <c r="M1080" s="309">
        <f t="shared" si="163"/>
        <v>1.4286350565849926</v>
      </c>
      <c r="N1080" s="294">
        <v>0</v>
      </c>
      <c r="O1080" s="294" t="str">
        <f t="shared" si="158"/>
        <v/>
      </c>
      <c r="P1080" s="294"/>
    </row>
    <row r="1081" spans="1:16">
      <c r="A1081" s="294"/>
      <c r="B1081" s="294" t="s">
        <v>599</v>
      </c>
      <c r="C1081" s="294" t="s">
        <v>361</v>
      </c>
      <c r="D1081" s="295" t="s">
        <v>1063</v>
      </c>
      <c r="E1081" s="296">
        <v>12</v>
      </c>
      <c r="F1081" s="294">
        <v>7.5</v>
      </c>
      <c r="G1081" s="308">
        <f t="shared" si="161"/>
        <v>4.6805870599999997</v>
      </c>
      <c r="H1081" s="294">
        <v>74.2</v>
      </c>
      <c r="I1081" s="297"/>
      <c r="J1081" s="297"/>
      <c r="K1081" s="294">
        <f t="shared" si="142"/>
        <v>2.3199999999999998</v>
      </c>
      <c r="L1081" s="294">
        <f t="shared" si="143"/>
        <v>0.51546248616696222</v>
      </c>
      <c r="M1081" s="309">
        <f t="shared" si="163"/>
        <v>0.82169873647096536</v>
      </c>
      <c r="N1081" s="294">
        <v>0</v>
      </c>
      <c r="O1081" s="294" t="str">
        <f t="shared" si="158"/>
        <v/>
      </c>
      <c r="P1081" s="294"/>
    </row>
    <row r="1082" spans="1:16">
      <c r="A1082" s="294">
        <v>91</v>
      </c>
      <c r="B1082" s="294" t="s">
        <v>599</v>
      </c>
      <c r="C1082" s="294" t="s">
        <v>363</v>
      </c>
      <c r="D1082" s="295" t="s">
        <v>1063</v>
      </c>
      <c r="E1082" s="296">
        <v>1</v>
      </c>
      <c r="F1082" s="294">
        <v>4.7</v>
      </c>
      <c r="G1082" s="308">
        <f t="shared" si="161"/>
        <v>7.2935713900000012</v>
      </c>
      <c r="H1082" s="294">
        <v>116.3</v>
      </c>
      <c r="I1082" s="306">
        <v>1.0069999999999999</v>
      </c>
      <c r="J1082" s="307">
        <v>-0.26</v>
      </c>
      <c r="K1082" s="294">
        <f t="shared" si="142"/>
        <v>2.3872</v>
      </c>
      <c r="L1082" s="294">
        <f t="shared" si="143"/>
        <v>0.47528522193532502</v>
      </c>
      <c r="M1082" s="309">
        <f>$I$1082*L1082*(G1082/K1082)+$J$1082</f>
        <v>1.2022957371292176</v>
      </c>
      <c r="N1082" s="294">
        <v>0</v>
      </c>
      <c r="O1082" s="294" t="str">
        <f t="shared" si="158"/>
        <v/>
      </c>
      <c r="P1082" s="294">
        <f>AVERAGE(O1082:O1093)</f>
        <v>6.517412193066848</v>
      </c>
    </row>
    <row r="1083" spans="1:16">
      <c r="A1083" s="294"/>
      <c r="B1083" s="294" t="s">
        <v>599</v>
      </c>
      <c r="C1083" s="294" t="s">
        <v>363</v>
      </c>
      <c r="D1083" s="295" t="s">
        <v>1063</v>
      </c>
      <c r="E1083" s="296">
        <v>2</v>
      </c>
      <c r="F1083" s="294">
        <v>5.4</v>
      </c>
      <c r="G1083" s="308">
        <f t="shared" si="161"/>
        <v>10.56047117</v>
      </c>
      <c r="H1083" s="294">
        <v>134.9</v>
      </c>
      <c r="I1083" s="297"/>
      <c r="J1083" s="297"/>
      <c r="K1083" s="294">
        <f t="shared" si="142"/>
        <v>2.3704000000000001</v>
      </c>
      <c r="L1083" s="294">
        <f t="shared" si="143"/>
        <v>0.48535075735081867</v>
      </c>
      <c r="M1083" s="309">
        <f t="shared" ref="M1083:M1093" si="164">$I$1082*L1083*(G1083/K1083)+$J$1082</f>
        <v>1.9174432201752329</v>
      </c>
      <c r="N1083" s="294">
        <v>0</v>
      </c>
      <c r="O1083" s="294" t="str">
        <f t="shared" si="158"/>
        <v/>
      </c>
      <c r="P1083" s="294"/>
    </row>
    <row r="1084" spans="1:16">
      <c r="A1084" s="294"/>
      <c r="B1084" s="294" t="s">
        <v>599</v>
      </c>
      <c r="C1084" s="294" t="s">
        <v>363</v>
      </c>
      <c r="D1084" s="295" t="s">
        <v>1063</v>
      </c>
      <c r="E1084" s="296">
        <v>3</v>
      </c>
      <c r="F1084" s="294">
        <v>8.6999999999999993</v>
      </c>
      <c r="G1084" s="308">
        <f t="shared" si="161"/>
        <v>14.814966949999999</v>
      </c>
      <c r="H1084" s="294">
        <v>192.5</v>
      </c>
      <c r="I1084" s="297"/>
      <c r="J1084" s="297"/>
      <c r="K1084" s="294">
        <f t="shared" si="142"/>
        <v>2.2911999999999999</v>
      </c>
      <c r="L1084" s="294">
        <f t="shared" si="143"/>
        <v>0.53254372569577879</v>
      </c>
      <c r="M1084" s="309">
        <f t="shared" si="164"/>
        <v>3.2075475818270416</v>
      </c>
      <c r="N1084" s="294">
        <v>0</v>
      </c>
      <c r="O1084" s="294" t="str">
        <f t="shared" si="158"/>
        <v/>
      </c>
      <c r="P1084" s="294"/>
    </row>
    <row r="1085" spans="1:16">
      <c r="A1085" s="294"/>
      <c r="B1085" s="294" t="s">
        <v>599</v>
      </c>
      <c r="C1085" s="294" t="s">
        <v>363</v>
      </c>
      <c r="D1085" s="295" t="s">
        <v>1063</v>
      </c>
      <c r="E1085" s="296">
        <v>4</v>
      </c>
      <c r="F1085" s="294">
        <v>14.7</v>
      </c>
      <c r="G1085" s="308">
        <f t="shared" si="161"/>
        <v>15.125095959999999</v>
      </c>
      <c r="H1085" s="294">
        <v>157.19999999999999</v>
      </c>
      <c r="I1085" s="297"/>
      <c r="J1085" s="297"/>
      <c r="K1085" s="294">
        <f t="shared" si="142"/>
        <v>2.1471999999999998</v>
      </c>
      <c r="L1085" s="294">
        <f t="shared" si="143"/>
        <v>0.61495389297523528</v>
      </c>
      <c r="M1085" s="309">
        <f t="shared" si="164"/>
        <v>4.102120575037997</v>
      </c>
      <c r="N1085" s="294">
        <v>0</v>
      </c>
      <c r="O1085" s="294" t="str">
        <f t="shared" si="158"/>
        <v/>
      </c>
      <c r="P1085" s="294"/>
    </row>
    <row r="1086" spans="1:16">
      <c r="A1086" s="294"/>
      <c r="B1086" s="294" t="s">
        <v>599</v>
      </c>
      <c r="C1086" s="294" t="s">
        <v>363</v>
      </c>
      <c r="D1086" s="295" t="s">
        <v>1063</v>
      </c>
      <c r="E1086" s="296">
        <v>5</v>
      </c>
      <c r="F1086" s="294">
        <v>20</v>
      </c>
      <c r="G1086" s="308">
        <f t="shared" si="161"/>
        <v>20.74689489</v>
      </c>
      <c r="H1086" s="294">
        <v>241.3</v>
      </c>
      <c r="I1086" s="297"/>
      <c r="J1086" s="297"/>
      <c r="K1086" s="294">
        <f t="shared" si="142"/>
        <v>2.02</v>
      </c>
      <c r="L1086" s="294">
        <f t="shared" si="143"/>
        <v>0.68105417257260759</v>
      </c>
      <c r="M1086" s="309">
        <f t="shared" si="164"/>
        <v>6.7838948752916481</v>
      </c>
      <c r="N1086" s="294">
        <v>0</v>
      </c>
      <c r="O1086" s="294" t="str">
        <f t="shared" si="158"/>
        <v/>
      </c>
      <c r="P1086" s="294"/>
    </row>
    <row r="1087" spans="1:16">
      <c r="A1087" s="294"/>
      <c r="B1087" s="294" t="s">
        <v>599</v>
      </c>
      <c r="C1087" s="294" t="s">
        <v>363</v>
      </c>
      <c r="D1087" s="295" t="s">
        <v>1063</v>
      </c>
      <c r="E1087" s="296">
        <v>6</v>
      </c>
      <c r="F1087" s="294">
        <v>21.8</v>
      </c>
      <c r="G1087" s="308">
        <f t="shared" si="161"/>
        <v>16.360599829999998</v>
      </c>
      <c r="H1087" s="294">
        <v>143.1</v>
      </c>
      <c r="I1087" s="297"/>
      <c r="J1087" s="297"/>
      <c r="K1087" s="294">
        <f t="shared" si="142"/>
        <v>1.9767999999999999</v>
      </c>
      <c r="L1087" s="294">
        <f t="shared" si="143"/>
        <v>0.70164698620294608</v>
      </c>
      <c r="M1087" s="309">
        <f t="shared" si="164"/>
        <v>5.5876938092544881</v>
      </c>
      <c r="N1087" s="294">
        <v>0</v>
      </c>
      <c r="O1087" s="294" t="str">
        <f t="shared" si="158"/>
        <v/>
      </c>
      <c r="P1087" s="294"/>
    </row>
    <row r="1088" spans="1:16">
      <c r="A1088" s="294"/>
      <c r="B1088" s="294" t="s">
        <v>599</v>
      </c>
      <c r="C1088" s="294" t="s">
        <v>363</v>
      </c>
      <c r="D1088" s="295" t="s">
        <v>1063</v>
      </c>
      <c r="E1088" s="296">
        <v>7</v>
      </c>
      <c r="F1088" s="294">
        <v>25.8</v>
      </c>
      <c r="G1088" s="308">
        <f t="shared" si="161"/>
        <v>15.918903459999999</v>
      </c>
      <c r="H1088" s="294">
        <v>142.19999999999999</v>
      </c>
      <c r="I1088" s="297"/>
      <c r="J1088" s="297"/>
      <c r="K1088" s="294">
        <f t="shared" si="142"/>
        <v>1.8807999999999998</v>
      </c>
      <c r="L1088" s="294">
        <f t="shared" si="143"/>
        <v>0.74366850574375487</v>
      </c>
      <c r="M1088" s="309">
        <f t="shared" si="164"/>
        <v>6.078396352202005</v>
      </c>
      <c r="N1088" s="294">
        <v>1</v>
      </c>
      <c r="O1088" s="294">
        <f t="shared" si="158"/>
        <v>6.078396352202005</v>
      </c>
      <c r="P1088" s="294"/>
    </row>
    <row r="1089" spans="1:16">
      <c r="A1089" s="294"/>
      <c r="B1089" s="294" t="s">
        <v>599</v>
      </c>
      <c r="C1089" s="294" t="s">
        <v>363</v>
      </c>
      <c r="D1089" s="295" t="s">
        <v>1063</v>
      </c>
      <c r="E1089" s="296">
        <v>8</v>
      </c>
      <c r="F1089" s="294">
        <v>27.2</v>
      </c>
      <c r="G1089" s="308">
        <f t="shared" si="161"/>
        <v>17.48400226</v>
      </c>
      <c r="H1089" s="294">
        <v>193.2</v>
      </c>
      <c r="I1089" s="297"/>
      <c r="J1089" s="297"/>
      <c r="K1089" s="294">
        <f t="shared" si="142"/>
        <v>1.8472</v>
      </c>
      <c r="L1089" s="294">
        <f t="shared" si="143"/>
        <v>0.75712202532428419</v>
      </c>
      <c r="M1089" s="309">
        <f t="shared" si="164"/>
        <v>6.9564280339316902</v>
      </c>
      <c r="N1089" s="294">
        <v>1</v>
      </c>
      <c r="O1089" s="294">
        <f t="shared" si="158"/>
        <v>6.9564280339316902</v>
      </c>
      <c r="P1089" s="294"/>
    </row>
    <row r="1090" spans="1:16">
      <c r="A1090" s="294"/>
      <c r="B1090" s="294" t="s">
        <v>599</v>
      </c>
      <c r="C1090" s="294" t="s">
        <v>363</v>
      </c>
      <c r="D1090" s="295" t="s">
        <v>1063</v>
      </c>
      <c r="E1090" s="296">
        <v>9</v>
      </c>
      <c r="F1090" s="294">
        <v>22</v>
      </c>
      <c r="G1090" s="308">
        <f t="shared" si="161"/>
        <v>13.41546838</v>
      </c>
      <c r="H1090" s="294">
        <v>142.6</v>
      </c>
      <c r="I1090" s="297"/>
      <c r="J1090" s="297"/>
      <c r="K1090" s="294">
        <f t="shared" si="142"/>
        <v>1.972</v>
      </c>
      <c r="L1090" s="294">
        <f t="shared" si="143"/>
        <v>0.70387205081416948</v>
      </c>
      <c r="M1090" s="309">
        <f t="shared" si="164"/>
        <v>4.5619435364868588</v>
      </c>
      <c r="N1090" s="294">
        <v>0</v>
      </c>
      <c r="O1090" s="294" t="str">
        <f t="shared" ref="O1090:O1153" si="165">IF(N1090*M1090=0,"",N1090*M1090)</f>
        <v/>
      </c>
      <c r="P1090" s="294"/>
    </row>
    <row r="1091" spans="1:16">
      <c r="A1091" s="294"/>
      <c r="B1091" s="294" t="s">
        <v>599</v>
      </c>
      <c r="C1091" s="294" t="s">
        <v>363</v>
      </c>
      <c r="D1091" s="295" t="s">
        <v>1063</v>
      </c>
      <c r="E1091" s="296">
        <v>10</v>
      </c>
      <c r="F1091" s="294">
        <v>17.2</v>
      </c>
      <c r="G1091" s="308">
        <f t="shared" si="161"/>
        <v>14.902490220000001</v>
      </c>
      <c r="H1091" s="294">
        <v>241.4</v>
      </c>
      <c r="I1091" s="297"/>
      <c r="J1091" s="297"/>
      <c r="K1091" s="294">
        <f t="shared" si="142"/>
        <v>2.0872000000000002</v>
      </c>
      <c r="L1091" s="294">
        <f t="shared" si="143"/>
        <v>0.64708539575733404</v>
      </c>
      <c r="M1091" s="309">
        <f t="shared" si="164"/>
        <v>4.3924942833705201</v>
      </c>
      <c r="N1091" s="294">
        <v>0</v>
      </c>
      <c r="O1091" s="294" t="str">
        <f t="shared" si="165"/>
        <v/>
      </c>
      <c r="P1091" s="294"/>
    </row>
    <row r="1092" spans="1:16">
      <c r="A1092" s="294"/>
      <c r="B1092" s="294" t="s">
        <v>599</v>
      </c>
      <c r="C1092" s="294" t="s">
        <v>363</v>
      </c>
      <c r="D1092" s="295" t="s">
        <v>1063</v>
      </c>
      <c r="E1092" s="296">
        <v>11</v>
      </c>
      <c r="F1092" s="294">
        <v>13.9</v>
      </c>
      <c r="G1092" s="308">
        <f t="shared" si="161"/>
        <v>7.810192709999999</v>
      </c>
      <c r="H1092" s="294">
        <v>114.7</v>
      </c>
      <c r="I1092" s="297"/>
      <c r="J1092" s="297"/>
      <c r="K1092" s="294">
        <f t="shared" si="142"/>
        <v>2.1663999999999999</v>
      </c>
      <c r="L1092" s="294">
        <f t="shared" si="143"/>
        <v>0.60435349971924368</v>
      </c>
      <c r="M1092" s="309">
        <f t="shared" si="164"/>
        <v>1.9340353207416057</v>
      </c>
      <c r="N1092" s="294">
        <v>0</v>
      </c>
      <c r="O1092" s="294" t="str">
        <f t="shared" si="165"/>
        <v/>
      </c>
      <c r="P1092" s="294"/>
    </row>
    <row r="1093" spans="1:16">
      <c r="A1093" s="294"/>
      <c r="B1093" s="294" t="s">
        <v>599</v>
      </c>
      <c r="C1093" s="294" t="s">
        <v>363</v>
      </c>
      <c r="D1093" s="295" t="s">
        <v>1063</v>
      </c>
      <c r="E1093" s="296">
        <v>12</v>
      </c>
      <c r="F1093" s="294">
        <v>8.3000000000000007</v>
      </c>
      <c r="G1093" s="308">
        <f t="shared" si="161"/>
        <v>7.7121724399999989</v>
      </c>
      <c r="H1093" s="294">
        <v>140.80000000000001</v>
      </c>
      <c r="I1093" s="297"/>
      <c r="J1093" s="297"/>
      <c r="K1093" s="294">
        <f t="shared" si="142"/>
        <v>2.3008000000000002</v>
      </c>
      <c r="L1093" s="294">
        <f t="shared" si="143"/>
        <v>0.52686406241145922</v>
      </c>
      <c r="M1093" s="309">
        <f t="shared" si="164"/>
        <v>1.51838550385448</v>
      </c>
      <c r="N1093" s="294">
        <v>0</v>
      </c>
      <c r="O1093" s="294" t="str">
        <f t="shared" si="165"/>
        <v/>
      </c>
      <c r="P1093" s="294"/>
    </row>
    <row r="1094" spans="1:16">
      <c r="A1094" s="294">
        <v>92</v>
      </c>
      <c r="B1094" s="294" t="s">
        <v>599</v>
      </c>
      <c r="C1094" s="294" t="s">
        <v>600</v>
      </c>
      <c r="D1094" s="295" t="s">
        <v>1063</v>
      </c>
      <c r="E1094" s="296">
        <v>1</v>
      </c>
      <c r="F1094" s="294">
        <v>5.3</v>
      </c>
      <c r="G1094" s="308">
        <f t="shared" si="161"/>
        <v>7.9353935200000008</v>
      </c>
      <c r="H1094" s="294">
        <v>130.4</v>
      </c>
      <c r="I1094" s="306">
        <v>0.89700000000000002</v>
      </c>
      <c r="J1094" s="307">
        <v>-0.04</v>
      </c>
      <c r="K1094" s="294">
        <f t="shared" si="142"/>
        <v>2.3727999999999998</v>
      </c>
      <c r="L1094" s="294">
        <f t="shared" si="143"/>
        <v>0.48391311512621654</v>
      </c>
      <c r="M1094" s="309">
        <f>$I$1094*L1094*(G1094/K1094)+$J$1094</f>
        <v>1.4116675553017479</v>
      </c>
      <c r="N1094" s="294">
        <v>0</v>
      </c>
      <c r="O1094" s="294" t="str">
        <f t="shared" si="165"/>
        <v/>
      </c>
      <c r="P1094" s="294">
        <f>AVERAGE(O1094:O1105)</f>
        <v>5.8616473080148985</v>
      </c>
    </row>
    <row r="1095" spans="1:16">
      <c r="A1095" s="294"/>
      <c r="B1095" s="294" t="s">
        <v>599</v>
      </c>
      <c r="C1095" s="294" t="s">
        <v>600</v>
      </c>
      <c r="D1095" s="295" t="s">
        <v>1063</v>
      </c>
      <c r="E1095" s="296">
        <v>2</v>
      </c>
      <c r="F1095" s="294">
        <v>5.7</v>
      </c>
      <c r="G1095" s="308">
        <f t="shared" si="161"/>
        <v>11.22505295</v>
      </c>
      <c r="H1095" s="294">
        <v>149.5</v>
      </c>
      <c r="I1095" s="297"/>
      <c r="J1095" s="297"/>
      <c r="K1095" s="294">
        <f t="shared" si="142"/>
        <v>2.3632</v>
      </c>
      <c r="L1095" s="294">
        <f t="shared" si="143"/>
        <v>0.48966257712415773</v>
      </c>
      <c r="M1095" s="309">
        <f t="shared" ref="M1095:M1105" si="166">$I$1094*L1095*(G1095/K1095)+$J$1094</f>
        <v>2.0463024945833448</v>
      </c>
      <c r="N1095" s="294">
        <v>0</v>
      </c>
      <c r="O1095" s="294" t="str">
        <f t="shared" si="165"/>
        <v/>
      </c>
      <c r="P1095" s="294"/>
    </row>
    <row r="1096" spans="1:16">
      <c r="A1096" s="294"/>
      <c r="B1096" s="294" t="s">
        <v>599</v>
      </c>
      <c r="C1096" s="294" t="s">
        <v>600</v>
      </c>
      <c r="D1096" s="295" t="s">
        <v>1063</v>
      </c>
      <c r="E1096" s="296">
        <v>3</v>
      </c>
      <c r="F1096" s="294">
        <v>8.6999999999999993</v>
      </c>
      <c r="G1096" s="308">
        <f t="shared" si="161"/>
        <v>14.255079559999999</v>
      </c>
      <c r="H1096" s="294">
        <v>180.2</v>
      </c>
      <c r="I1096" s="297"/>
      <c r="J1096" s="297"/>
      <c r="K1096" s="294">
        <f t="shared" si="142"/>
        <v>2.2911999999999999</v>
      </c>
      <c r="L1096" s="294">
        <f t="shared" si="143"/>
        <v>0.53254372569577879</v>
      </c>
      <c r="M1096" s="309">
        <f t="shared" si="166"/>
        <v>2.9320380156852353</v>
      </c>
      <c r="N1096" s="294">
        <v>0</v>
      </c>
      <c r="O1096" s="294" t="str">
        <f t="shared" si="165"/>
        <v/>
      </c>
      <c r="P1096" s="294"/>
    </row>
    <row r="1097" spans="1:16">
      <c r="A1097" s="294"/>
      <c r="B1097" s="294" t="s">
        <v>599</v>
      </c>
      <c r="C1097" s="294" t="s">
        <v>600</v>
      </c>
      <c r="D1097" s="295" t="s">
        <v>1063</v>
      </c>
      <c r="E1097" s="296">
        <v>4</v>
      </c>
      <c r="F1097" s="294">
        <v>14.5</v>
      </c>
      <c r="G1097" s="308">
        <f t="shared" si="161"/>
        <v>14.779149279999999</v>
      </c>
      <c r="H1097" s="294">
        <v>149.6</v>
      </c>
      <c r="I1097" s="297"/>
      <c r="J1097" s="297"/>
      <c r="K1097" s="294">
        <f t="shared" si="142"/>
        <v>2.1520000000000001</v>
      </c>
      <c r="L1097" s="294">
        <f t="shared" si="143"/>
        <v>0.61231732805409467</v>
      </c>
      <c r="M1097" s="309">
        <f t="shared" si="166"/>
        <v>3.7320388897043908</v>
      </c>
      <c r="N1097" s="294">
        <v>0</v>
      </c>
      <c r="O1097" s="294" t="str">
        <f t="shared" si="165"/>
        <v/>
      </c>
      <c r="P1097" s="294"/>
    </row>
    <row r="1098" spans="1:16">
      <c r="A1098" s="294"/>
      <c r="B1098" s="294" t="s">
        <v>599</v>
      </c>
      <c r="C1098" s="294" t="s">
        <v>600</v>
      </c>
      <c r="D1098" s="295" t="s">
        <v>1063</v>
      </c>
      <c r="E1098" s="296">
        <v>5</v>
      </c>
      <c r="F1098" s="294">
        <v>19.399999999999999</v>
      </c>
      <c r="G1098" s="308">
        <f t="shared" si="161"/>
        <v>20.88345279</v>
      </c>
      <c r="H1098" s="294">
        <v>244.3</v>
      </c>
      <c r="I1098" s="297"/>
      <c r="J1098" s="297"/>
      <c r="K1098" s="294">
        <f t="shared" si="142"/>
        <v>2.0344000000000002</v>
      </c>
      <c r="L1098" s="294">
        <f t="shared" si="143"/>
        <v>0.67396814722434939</v>
      </c>
      <c r="M1098" s="309">
        <f t="shared" si="166"/>
        <v>6.165799960734148</v>
      </c>
      <c r="N1098" s="294">
        <v>0</v>
      </c>
      <c r="O1098" s="294" t="str">
        <f t="shared" si="165"/>
        <v/>
      </c>
      <c r="P1098" s="294"/>
    </row>
    <row r="1099" spans="1:16">
      <c r="A1099" s="294"/>
      <c r="B1099" s="294" t="s">
        <v>599</v>
      </c>
      <c r="C1099" s="294" t="s">
        <v>600</v>
      </c>
      <c r="D1099" s="295" t="s">
        <v>1063</v>
      </c>
      <c r="E1099" s="296">
        <v>6</v>
      </c>
      <c r="F1099" s="294">
        <v>20.9</v>
      </c>
      <c r="G1099" s="308">
        <f t="shared" si="161"/>
        <v>16.765721599999999</v>
      </c>
      <c r="H1099" s="294">
        <v>152</v>
      </c>
      <c r="I1099" s="297"/>
      <c r="J1099" s="297"/>
      <c r="K1099" s="294">
        <f t="shared" si="142"/>
        <v>1.9984000000000002</v>
      </c>
      <c r="L1099" s="294">
        <f t="shared" si="143"/>
        <v>0.69147707180847306</v>
      </c>
      <c r="M1099" s="309">
        <f t="shared" si="166"/>
        <v>5.1636737062727622</v>
      </c>
      <c r="N1099" s="294">
        <v>0</v>
      </c>
      <c r="O1099" s="294" t="str">
        <f t="shared" si="165"/>
        <v/>
      </c>
      <c r="P1099" s="294"/>
    </row>
    <row r="1100" spans="1:16">
      <c r="A1100" s="294"/>
      <c r="B1100" s="294" t="s">
        <v>599</v>
      </c>
      <c r="C1100" s="294" t="s">
        <v>600</v>
      </c>
      <c r="D1100" s="295" t="s">
        <v>1063</v>
      </c>
      <c r="E1100" s="296">
        <v>7</v>
      </c>
      <c r="F1100" s="294">
        <v>24.5</v>
      </c>
      <c r="G1100" s="308">
        <f t="shared" si="161"/>
        <v>15.14962729</v>
      </c>
      <c r="H1100" s="294">
        <v>125.3</v>
      </c>
      <c r="I1100" s="297"/>
      <c r="J1100" s="297"/>
      <c r="K1100" s="294">
        <f t="shared" si="142"/>
        <v>1.9119999999999999</v>
      </c>
      <c r="L1100" s="294">
        <f t="shared" si="143"/>
        <v>0.73059013321207966</v>
      </c>
      <c r="M1100" s="309">
        <f t="shared" si="166"/>
        <v>5.1525454462674007</v>
      </c>
      <c r="N1100" s="294">
        <v>1</v>
      </c>
      <c r="O1100" s="294">
        <f t="shared" si="165"/>
        <v>5.1525454462674007</v>
      </c>
      <c r="P1100" s="294"/>
    </row>
    <row r="1101" spans="1:16">
      <c r="A1101" s="294"/>
      <c r="B1101" s="294" t="s">
        <v>599</v>
      </c>
      <c r="C1101" s="294" t="s">
        <v>600</v>
      </c>
      <c r="D1101" s="295" t="s">
        <v>1063</v>
      </c>
      <c r="E1101" s="296">
        <v>8</v>
      </c>
      <c r="F1101" s="294">
        <v>26.1</v>
      </c>
      <c r="G1101" s="308">
        <f t="shared" si="161"/>
        <v>18.494530720000004</v>
      </c>
      <c r="H1101" s="294">
        <v>215.4</v>
      </c>
      <c r="I1101" s="297"/>
      <c r="J1101" s="297"/>
      <c r="K1101" s="294">
        <f t="shared" si="142"/>
        <v>1.8735999999999999</v>
      </c>
      <c r="L1101" s="294">
        <f t="shared" si="143"/>
        <v>0.74660655364901107</v>
      </c>
      <c r="M1101" s="309">
        <f t="shared" si="166"/>
        <v>6.5707491697623954</v>
      </c>
      <c r="N1101" s="294">
        <v>1</v>
      </c>
      <c r="O1101" s="294">
        <f t="shared" si="165"/>
        <v>6.5707491697623954</v>
      </c>
      <c r="P1101" s="294"/>
    </row>
    <row r="1102" spans="1:16">
      <c r="A1102" s="294"/>
      <c r="B1102" s="294" t="s">
        <v>599</v>
      </c>
      <c r="C1102" s="294" t="s">
        <v>600</v>
      </c>
      <c r="D1102" s="295" t="s">
        <v>1063</v>
      </c>
      <c r="E1102" s="296">
        <v>9</v>
      </c>
      <c r="F1102" s="294">
        <v>21.5</v>
      </c>
      <c r="G1102" s="308">
        <f t="shared" si="161"/>
        <v>13.99811542</v>
      </c>
      <c r="H1102" s="294">
        <v>155.4</v>
      </c>
      <c r="I1102" s="297"/>
      <c r="J1102" s="297"/>
      <c r="K1102" s="294">
        <f t="shared" si="142"/>
        <v>1.984</v>
      </c>
      <c r="L1102" s="294">
        <f t="shared" si="143"/>
        <v>0.69828547686607079</v>
      </c>
      <c r="M1102" s="309">
        <f t="shared" si="166"/>
        <v>4.3792986839964998</v>
      </c>
      <c r="N1102" s="294">
        <v>0</v>
      </c>
      <c r="O1102" s="294" t="str">
        <f t="shared" si="165"/>
        <v/>
      </c>
      <c r="P1102" s="294"/>
    </row>
    <row r="1103" spans="1:16">
      <c r="A1103" s="294"/>
      <c r="B1103" s="294" t="s">
        <v>599</v>
      </c>
      <c r="C1103" s="294" t="s">
        <v>600</v>
      </c>
      <c r="D1103" s="295" t="s">
        <v>1063</v>
      </c>
      <c r="E1103" s="296">
        <v>10</v>
      </c>
      <c r="F1103" s="294">
        <v>17.7</v>
      </c>
      <c r="G1103" s="308">
        <f t="shared" si="161"/>
        <v>14.570199330000001</v>
      </c>
      <c r="H1103" s="294">
        <v>234.1</v>
      </c>
      <c r="I1103" s="297"/>
      <c r="J1103" s="297"/>
      <c r="K1103" s="294">
        <f t="shared" si="142"/>
        <v>2.0752000000000002</v>
      </c>
      <c r="L1103" s="294">
        <f t="shared" si="143"/>
        <v>0.65331554390309887</v>
      </c>
      <c r="M1103" s="309">
        <f t="shared" si="166"/>
        <v>4.074536968460774</v>
      </c>
      <c r="N1103" s="294">
        <v>0</v>
      </c>
      <c r="O1103" s="294" t="str">
        <f t="shared" si="165"/>
        <v/>
      </c>
      <c r="P1103" s="294"/>
    </row>
    <row r="1104" spans="1:16">
      <c r="A1104" s="294"/>
      <c r="B1104" s="294" t="s">
        <v>599</v>
      </c>
      <c r="C1104" s="294" t="s">
        <v>600</v>
      </c>
      <c r="D1104" s="295" t="s">
        <v>1063</v>
      </c>
      <c r="E1104" s="296">
        <v>11</v>
      </c>
      <c r="F1104" s="294">
        <v>14.3</v>
      </c>
      <c r="G1104" s="308">
        <f t="shared" si="161"/>
        <v>6.8815989900000005</v>
      </c>
      <c r="H1104" s="294">
        <v>94.3</v>
      </c>
      <c r="I1104" s="297"/>
      <c r="J1104" s="297"/>
      <c r="K1104" s="294">
        <f t="shared" si="142"/>
        <v>2.1568000000000001</v>
      </c>
      <c r="L1104" s="294">
        <f t="shared" si="143"/>
        <v>0.60967164273634389</v>
      </c>
      <c r="M1104" s="309">
        <f t="shared" si="166"/>
        <v>1.7048894832691024</v>
      </c>
      <c r="N1104" s="294">
        <v>0</v>
      </c>
      <c r="O1104" s="294" t="str">
        <f t="shared" si="165"/>
        <v/>
      </c>
      <c r="P1104" s="294"/>
    </row>
    <row r="1105" spans="1:16">
      <c r="A1105" s="294"/>
      <c r="B1105" s="294" t="s">
        <v>599</v>
      </c>
      <c r="C1105" s="294" t="s">
        <v>600</v>
      </c>
      <c r="D1105" s="295" t="s">
        <v>1063</v>
      </c>
      <c r="E1105" s="296">
        <v>12</v>
      </c>
      <c r="F1105" s="294">
        <v>9.4</v>
      </c>
      <c r="G1105" s="308">
        <f t="shared" si="161"/>
        <v>7.3207064599999994</v>
      </c>
      <c r="H1105" s="294">
        <v>132.19999999999999</v>
      </c>
      <c r="I1105" s="297"/>
      <c r="J1105" s="297"/>
      <c r="K1105" s="294">
        <f t="shared" si="142"/>
        <v>2.2744</v>
      </c>
      <c r="L1105" s="294">
        <f t="shared" si="143"/>
        <v>0.54244317029746025</v>
      </c>
      <c r="M1105" s="309">
        <f t="shared" si="166"/>
        <v>1.5261481257556317</v>
      </c>
      <c r="N1105" s="294">
        <v>0</v>
      </c>
      <c r="O1105" s="294" t="str">
        <f t="shared" si="165"/>
        <v/>
      </c>
      <c r="P1105" s="294"/>
    </row>
    <row r="1106" spans="1:16">
      <c r="A1106" s="294">
        <v>93</v>
      </c>
      <c r="B1106" s="294" t="s">
        <v>369</v>
      </c>
      <c r="C1106" s="294" t="s">
        <v>369</v>
      </c>
      <c r="D1106" s="295" t="s">
        <v>1063</v>
      </c>
      <c r="E1106" s="296">
        <v>1</v>
      </c>
      <c r="F1106" s="294">
        <v>4.4000000000000004</v>
      </c>
      <c r="G1106" s="294">
        <v>6.8</v>
      </c>
      <c r="H1106" s="294"/>
      <c r="I1106" s="294">
        <v>0.98299999999999998</v>
      </c>
      <c r="J1106" s="294">
        <v>-0.25</v>
      </c>
      <c r="K1106" s="294">
        <f t="shared" si="142"/>
        <v>2.3944000000000001</v>
      </c>
      <c r="L1106" s="294">
        <f t="shared" si="143"/>
        <v>0.47097114415321184</v>
      </c>
      <c r="M1106" s="297">
        <f>$I$1106*L1106*(G1106/K1106)+$J$1106</f>
        <v>1.0648010006589246</v>
      </c>
      <c r="N1106" s="294">
        <v>0</v>
      </c>
      <c r="O1106" s="294" t="str">
        <f t="shared" si="165"/>
        <v/>
      </c>
      <c r="P1106" s="294">
        <f>AVERAGE(O1106:O1117)</f>
        <v>6.1489528261779371</v>
      </c>
    </row>
    <row r="1107" spans="1:16">
      <c r="A1107" s="294"/>
      <c r="B1107" s="294" t="s">
        <v>369</v>
      </c>
      <c r="C1107" s="294" t="s">
        <v>369</v>
      </c>
      <c r="D1107" s="295" t="s">
        <v>1063</v>
      </c>
      <c r="E1107" s="296">
        <v>2</v>
      </c>
      <c r="F1107" s="294">
        <v>5.0999999999999996</v>
      </c>
      <c r="G1107" s="294">
        <v>9.1999999999999993</v>
      </c>
      <c r="H1107" s="294"/>
      <c r="I1107" s="294"/>
      <c r="J1107" s="294"/>
      <c r="K1107" s="294">
        <f t="shared" si="142"/>
        <v>2.3776000000000002</v>
      </c>
      <c r="L1107" s="294">
        <f t="shared" si="143"/>
        <v>0.48103743439846536</v>
      </c>
      <c r="M1107" s="297">
        <f t="shared" ref="M1107:M1117" si="167">$I$1106*L1107*(G1107/K1107)+$J$1106</f>
        <v>1.5797064862575541</v>
      </c>
      <c r="N1107" s="294">
        <v>0</v>
      </c>
      <c r="O1107" s="294" t="str">
        <f t="shared" si="165"/>
        <v/>
      </c>
      <c r="P1107" s="294"/>
    </row>
    <row r="1108" spans="1:16">
      <c r="A1108" s="294"/>
      <c r="B1108" s="294" t="s">
        <v>369</v>
      </c>
      <c r="C1108" s="294" t="s">
        <v>369</v>
      </c>
      <c r="D1108" s="295" t="s">
        <v>1063</v>
      </c>
      <c r="E1108" s="296">
        <v>3</v>
      </c>
      <c r="F1108" s="294">
        <v>8.4</v>
      </c>
      <c r="G1108" s="294">
        <v>12.8</v>
      </c>
      <c r="H1108" s="294"/>
      <c r="I1108" s="294"/>
      <c r="J1108" s="294"/>
      <c r="K1108" s="294">
        <f t="shared" si="142"/>
        <v>2.2984</v>
      </c>
      <c r="L1108" s="294">
        <f t="shared" si="143"/>
        <v>0.52828541148097485</v>
      </c>
      <c r="M1108" s="297">
        <f t="shared" si="167"/>
        <v>2.6420546299243899</v>
      </c>
      <c r="N1108" s="294">
        <v>0</v>
      </c>
      <c r="O1108" s="294" t="str">
        <f t="shared" si="165"/>
        <v/>
      </c>
      <c r="P1108" s="294"/>
    </row>
    <row r="1109" spans="1:16">
      <c r="A1109" s="294"/>
      <c r="B1109" s="294" t="s">
        <v>369</v>
      </c>
      <c r="C1109" s="294" t="s">
        <v>369</v>
      </c>
      <c r="D1109" s="295" t="s">
        <v>1063</v>
      </c>
      <c r="E1109" s="296">
        <v>4</v>
      </c>
      <c r="F1109" s="294">
        <v>14.6</v>
      </c>
      <c r="G1109" s="294">
        <v>14</v>
      </c>
      <c r="H1109" s="294"/>
      <c r="I1109" s="294"/>
      <c r="J1109" s="294"/>
      <c r="K1109" s="294">
        <f t="shared" si="142"/>
        <v>2.1496</v>
      </c>
      <c r="L1109" s="294">
        <f t="shared" si="143"/>
        <v>0.61363675963733433</v>
      </c>
      <c r="M1109" s="297">
        <f t="shared" si="167"/>
        <v>3.6785769846152752</v>
      </c>
      <c r="N1109" s="294">
        <v>0</v>
      </c>
      <c r="O1109" s="294" t="str">
        <f t="shared" si="165"/>
        <v/>
      </c>
      <c r="P1109" s="294"/>
    </row>
    <row r="1110" spans="1:16">
      <c r="A1110" s="294"/>
      <c r="B1110" s="294" t="s">
        <v>369</v>
      </c>
      <c r="C1110" s="294" t="s">
        <v>369</v>
      </c>
      <c r="D1110" s="295" t="s">
        <v>1063</v>
      </c>
      <c r="E1110" s="296">
        <v>5</v>
      </c>
      <c r="F1110" s="294">
        <v>20.100000000000001</v>
      </c>
      <c r="G1110" s="294">
        <v>20.6</v>
      </c>
      <c r="H1110" s="294"/>
      <c r="I1110" s="294"/>
      <c r="J1110" s="294"/>
      <c r="K1110" s="294">
        <f t="shared" si="142"/>
        <v>2.0175999999999998</v>
      </c>
      <c r="L1110" s="294">
        <f t="shared" si="143"/>
        <v>0.68222457536345948</v>
      </c>
      <c r="M1110" s="297">
        <f t="shared" si="167"/>
        <v>6.5972002409768944</v>
      </c>
      <c r="N1110" s="294">
        <v>0</v>
      </c>
      <c r="O1110" s="294" t="str">
        <f t="shared" si="165"/>
        <v/>
      </c>
      <c r="P1110" s="294"/>
    </row>
    <row r="1111" spans="1:16">
      <c r="A1111" s="294"/>
      <c r="B1111" s="294" t="s">
        <v>369</v>
      </c>
      <c r="C1111" s="294" t="s">
        <v>369</v>
      </c>
      <c r="D1111" s="295" t="s">
        <v>1063</v>
      </c>
      <c r="E1111" s="296">
        <v>6</v>
      </c>
      <c r="F1111" s="294">
        <v>21.5</v>
      </c>
      <c r="G1111" s="294">
        <v>14.9</v>
      </c>
      <c r="H1111" s="294"/>
      <c r="I1111" s="294"/>
      <c r="J1111" s="294"/>
      <c r="K1111" s="294">
        <f t="shared" si="142"/>
        <v>1.984</v>
      </c>
      <c r="L1111" s="294">
        <f t="shared" si="143"/>
        <v>0.69828547686607079</v>
      </c>
      <c r="M1111" s="297">
        <f t="shared" si="167"/>
        <v>4.9050291804507458</v>
      </c>
      <c r="N1111" s="294">
        <v>0</v>
      </c>
      <c r="O1111" s="294" t="str">
        <f t="shared" si="165"/>
        <v/>
      </c>
      <c r="P1111" s="294"/>
    </row>
    <row r="1112" spans="1:16">
      <c r="A1112" s="294"/>
      <c r="B1112" s="294" t="s">
        <v>369</v>
      </c>
      <c r="C1112" s="294" t="s">
        <v>369</v>
      </c>
      <c r="D1112" s="295" t="s">
        <v>1063</v>
      </c>
      <c r="E1112" s="296">
        <v>7</v>
      </c>
      <c r="F1112" s="294">
        <v>25.8</v>
      </c>
      <c r="G1112" s="294">
        <v>15.6</v>
      </c>
      <c r="H1112" s="294"/>
      <c r="I1112" s="294"/>
      <c r="J1112" s="294"/>
      <c r="K1112" s="294">
        <f t="shared" si="142"/>
        <v>1.8807999999999998</v>
      </c>
      <c r="L1112" s="294">
        <f t="shared" si="143"/>
        <v>0.74366850574375487</v>
      </c>
      <c r="M1112" s="297">
        <f t="shared" si="167"/>
        <v>5.8133814344318022</v>
      </c>
      <c r="N1112" s="294">
        <v>1</v>
      </c>
      <c r="O1112" s="294">
        <f t="shared" si="165"/>
        <v>5.8133814344318022</v>
      </c>
      <c r="P1112" s="294"/>
    </row>
    <row r="1113" spans="1:16">
      <c r="A1113" s="294"/>
      <c r="B1113" s="294" t="s">
        <v>369</v>
      </c>
      <c r="C1113" s="294" t="s">
        <v>369</v>
      </c>
      <c r="D1113" s="295" t="s">
        <v>1063</v>
      </c>
      <c r="E1113" s="296">
        <v>8</v>
      </c>
      <c r="F1113" s="294">
        <v>27</v>
      </c>
      <c r="G1113" s="294">
        <v>16.8</v>
      </c>
      <c r="H1113" s="294"/>
      <c r="I1113" s="294"/>
      <c r="J1113" s="294"/>
      <c r="K1113" s="294">
        <f t="shared" si="142"/>
        <v>1.8519999999999999</v>
      </c>
      <c r="L1113" s="294">
        <f t="shared" si="143"/>
        <v>0.75524020561421423</v>
      </c>
      <c r="M1113" s="297">
        <f t="shared" si="167"/>
        <v>6.4845242179240721</v>
      </c>
      <c r="N1113" s="294">
        <v>1</v>
      </c>
      <c r="O1113" s="294">
        <f t="shared" si="165"/>
        <v>6.4845242179240721</v>
      </c>
      <c r="P1113" s="294"/>
    </row>
    <row r="1114" spans="1:16">
      <c r="A1114" s="294"/>
      <c r="B1114" s="294" t="s">
        <v>369</v>
      </c>
      <c r="C1114" s="294" t="s">
        <v>369</v>
      </c>
      <c r="D1114" s="295" t="s">
        <v>1063</v>
      </c>
      <c r="E1114" s="296">
        <v>9</v>
      </c>
      <c r="F1114" s="294">
        <v>21.6</v>
      </c>
      <c r="G1114" s="294">
        <v>13.4</v>
      </c>
      <c r="H1114" s="294"/>
      <c r="I1114" s="294"/>
      <c r="J1114" s="294"/>
      <c r="K1114" s="294">
        <f t="shared" si="142"/>
        <v>1.9815999999999998</v>
      </c>
      <c r="L1114" s="294">
        <f t="shared" si="143"/>
        <v>0.69940915925890268</v>
      </c>
      <c r="M1114" s="297">
        <f t="shared" si="167"/>
        <v>4.3991508516300559</v>
      </c>
      <c r="N1114" s="294">
        <v>0</v>
      </c>
      <c r="O1114" s="294" t="str">
        <f t="shared" si="165"/>
        <v/>
      </c>
      <c r="P1114" s="294"/>
    </row>
    <row r="1115" spans="1:16">
      <c r="A1115" s="294"/>
      <c r="B1115" s="294" t="s">
        <v>369</v>
      </c>
      <c r="C1115" s="294" t="s">
        <v>369</v>
      </c>
      <c r="D1115" s="295" t="s">
        <v>1063</v>
      </c>
      <c r="E1115" s="296">
        <v>10</v>
      </c>
      <c r="F1115" s="294">
        <v>16.5</v>
      </c>
      <c r="G1115" s="294">
        <v>14.1</v>
      </c>
      <c r="H1115" s="294"/>
      <c r="I1115" s="294"/>
      <c r="J1115" s="294"/>
      <c r="K1115" s="294">
        <f t="shared" si="142"/>
        <v>2.1040000000000001</v>
      </c>
      <c r="L1115" s="294">
        <f t="shared" si="143"/>
        <v>0.63824954026778424</v>
      </c>
      <c r="M1115" s="297">
        <f t="shared" si="167"/>
        <v>3.9545295166224186</v>
      </c>
      <c r="N1115" s="294">
        <v>0</v>
      </c>
      <c r="O1115" s="294" t="str">
        <f t="shared" si="165"/>
        <v/>
      </c>
      <c r="P1115" s="294"/>
    </row>
    <row r="1116" spans="1:16">
      <c r="A1116" s="294"/>
      <c r="B1116" s="294" t="s">
        <v>369</v>
      </c>
      <c r="C1116" s="294" t="s">
        <v>369</v>
      </c>
      <c r="D1116" s="295" t="s">
        <v>1063</v>
      </c>
      <c r="E1116" s="296">
        <v>11</v>
      </c>
      <c r="F1116" s="294">
        <v>13.2</v>
      </c>
      <c r="G1116" s="294">
        <v>7.5</v>
      </c>
      <c r="H1116" s="294"/>
      <c r="I1116" s="294"/>
      <c r="J1116" s="294"/>
      <c r="K1116" s="294">
        <f t="shared" si="142"/>
        <v>2.1832000000000003</v>
      </c>
      <c r="L1116" s="294">
        <f t="shared" si="143"/>
        <v>0.59496401387711539</v>
      </c>
      <c r="M1116" s="297">
        <f t="shared" si="167"/>
        <v>1.7591481276607883</v>
      </c>
      <c r="N1116" s="294">
        <v>0</v>
      </c>
      <c r="O1116" s="294" t="str">
        <f t="shared" si="165"/>
        <v/>
      </c>
      <c r="P1116" s="294"/>
    </row>
    <row r="1117" spans="1:16">
      <c r="A1117" s="294"/>
      <c r="B1117" s="294" t="s">
        <v>369</v>
      </c>
      <c r="C1117" s="294" t="s">
        <v>369</v>
      </c>
      <c r="D1117" s="295" t="s">
        <v>1063</v>
      </c>
      <c r="E1117" s="296">
        <v>12</v>
      </c>
      <c r="F1117" s="294">
        <v>8</v>
      </c>
      <c r="G1117" s="294">
        <v>7.2</v>
      </c>
      <c r="H1117" s="294"/>
      <c r="I1117" s="294"/>
      <c r="J1117" s="294"/>
      <c r="K1117" s="294">
        <f t="shared" si="142"/>
        <v>2.3079999999999998</v>
      </c>
      <c r="L1117" s="294">
        <f t="shared" si="143"/>
        <v>0.52259463248663729</v>
      </c>
      <c r="M1117" s="297">
        <f t="shared" si="167"/>
        <v>1.3525631589633553</v>
      </c>
      <c r="N1117" s="294">
        <v>0</v>
      </c>
      <c r="O1117" s="294" t="str">
        <f t="shared" si="165"/>
        <v/>
      </c>
      <c r="P1117" s="294"/>
    </row>
    <row r="1118" spans="1:16">
      <c r="A1118" s="294">
        <v>94</v>
      </c>
      <c r="B1118" s="294" t="s">
        <v>601</v>
      </c>
      <c r="C1118" s="294" t="s">
        <v>370</v>
      </c>
      <c r="D1118" s="295" t="s">
        <v>1063</v>
      </c>
      <c r="E1118" s="296">
        <v>1</v>
      </c>
      <c r="F1118" s="294">
        <v>6.6</v>
      </c>
      <c r="G1118" s="308">
        <f t="shared" ref="G1118:G1149" si="168">$T$11+$T$12*H1118+INDEX($T$13:$T$24,MATCH(E1118,$S$13:$S$24,0),1)</f>
        <v>1.9996768000000005</v>
      </c>
      <c r="H1118" s="308"/>
      <c r="I1118" s="306">
        <v>0.93200000000000005</v>
      </c>
      <c r="J1118" s="307">
        <v>0.19</v>
      </c>
      <c r="K1118" s="294">
        <f t="shared" si="142"/>
        <v>2.3416000000000001</v>
      </c>
      <c r="L1118" s="294">
        <f t="shared" si="143"/>
        <v>0.5025819590057089</v>
      </c>
      <c r="M1118" s="309">
        <f>$I$1118*L1118*(G1118/K1118)+$J$1118</f>
        <v>0.59000913163766366</v>
      </c>
      <c r="N1118" s="294">
        <v>0</v>
      </c>
      <c r="O1118" s="294" t="str">
        <f t="shared" si="165"/>
        <v/>
      </c>
      <c r="P1118" s="294">
        <f>AVERAGE(O1118:O1129)</f>
        <v>3.6688623143512378</v>
      </c>
    </row>
    <row r="1119" spans="1:16">
      <c r="A1119" s="294"/>
      <c r="B1119" s="294" t="s">
        <v>601</v>
      </c>
      <c r="C1119" s="294" t="s">
        <v>370</v>
      </c>
      <c r="D1119" s="295" t="s">
        <v>1063</v>
      </c>
      <c r="E1119" s="296">
        <v>2</v>
      </c>
      <c r="F1119" s="294">
        <v>7.1</v>
      </c>
      <c r="G1119" s="308">
        <f t="shared" si="168"/>
        <v>4.4199175999999998</v>
      </c>
      <c r="H1119" s="308"/>
      <c r="I1119" s="294"/>
      <c r="J1119" s="294"/>
      <c r="K1119" s="294">
        <f t="shared" si="142"/>
        <v>2.3296000000000001</v>
      </c>
      <c r="L1119" s="294">
        <f t="shared" si="143"/>
        <v>0.50974381096902943</v>
      </c>
      <c r="M1119" s="309">
        <f t="shared" ref="M1119:M1129" si="169">$I$1118*L1119*(G1119/K1119)+$J$1118</f>
        <v>1.0913649974093218</v>
      </c>
      <c r="N1119" s="294">
        <v>0</v>
      </c>
      <c r="O1119" s="294" t="str">
        <f t="shared" si="165"/>
        <v/>
      </c>
      <c r="P1119" s="294"/>
    </row>
    <row r="1120" spans="1:16">
      <c r="A1120" s="294"/>
      <c r="B1120" s="294" t="s">
        <v>601</v>
      </c>
      <c r="C1120" s="294" t="s">
        <v>370</v>
      </c>
      <c r="D1120" s="295" t="s">
        <v>1063</v>
      </c>
      <c r="E1120" s="296">
        <v>3</v>
      </c>
      <c r="F1120" s="294">
        <v>10.1</v>
      </c>
      <c r="G1120" s="308">
        <f t="shared" si="168"/>
        <v>6.0525017000000005</v>
      </c>
      <c r="H1120" s="308"/>
      <c r="I1120" s="294"/>
      <c r="J1120" s="294"/>
      <c r="K1120" s="294">
        <f t="shared" si="142"/>
        <v>2.2576000000000001</v>
      </c>
      <c r="L1120" s="294">
        <f t="shared" si="143"/>
        <v>0.5522845613647327</v>
      </c>
      <c r="M1120" s="309">
        <f t="shared" si="169"/>
        <v>1.5699607662025254</v>
      </c>
      <c r="N1120" s="294">
        <v>0</v>
      </c>
      <c r="O1120" s="294" t="str">
        <f t="shared" si="165"/>
        <v/>
      </c>
      <c r="P1120" s="294"/>
    </row>
    <row r="1121" spans="1:16">
      <c r="A1121" s="294"/>
      <c r="B1121" s="294" t="s">
        <v>601</v>
      </c>
      <c r="C1121" s="294" t="s">
        <v>370</v>
      </c>
      <c r="D1121" s="295" t="s">
        <v>1063</v>
      </c>
      <c r="E1121" s="296">
        <v>4</v>
      </c>
      <c r="F1121" s="294">
        <v>16.2</v>
      </c>
      <c r="G1121" s="308">
        <f t="shared" si="168"/>
        <v>7.969462</v>
      </c>
      <c r="H1121" s="308"/>
      <c r="I1121" s="294"/>
      <c r="J1121" s="294"/>
      <c r="K1121" s="294">
        <f t="shared" si="142"/>
        <v>2.1112000000000002</v>
      </c>
      <c r="L1121" s="294">
        <f t="shared" si="143"/>
        <v>0.63442324399527317</v>
      </c>
      <c r="M1121" s="309">
        <f t="shared" si="169"/>
        <v>2.4220022372874848</v>
      </c>
      <c r="N1121" s="294">
        <v>0</v>
      </c>
      <c r="O1121" s="294" t="str">
        <f t="shared" si="165"/>
        <v/>
      </c>
      <c r="P1121" s="294"/>
    </row>
    <row r="1122" spans="1:16">
      <c r="A1122" s="294"/>
      <c r="B1122" s="294" t="s">
        <v>601</v>
      </c>
      <c r="C1122" s="294" t="s">
        <v>370</v>
      </c>
      <c r="D1122" s="295" t="s">
        <v>1063</v>
      </c>
      <c r="E1122" s="296">
        <v>5</v>
      </c>
      <c r="F1122" s="294">
        <v>21.1</v>
      </c>
      <c r="G1122" s="308">
        <f t="shared" si="168"/>
        <v>9.763087800000001</v>
      </c>
      <c r="H1122" s="308"/>
      <c r="I1122" s="294"/>
      <c r="J1122" s="294"/>
      <c r="K1122" s="294">
        <f t="shared" si="142"/>
        <v>1.9935999999999998</v>
      </c>
      <c r="L1122" s="294">
        <f t="shared" si="143"/>
        <v>0.69375912088466873</v>
      </c>
      <c r="M1122" s="309">
        <f t="shared" si="169"/>
        <v>3.356458410422845</v>
      </c>
      <c r="N1122" s="294">
        <v>0</v>
      </c>
      <c r="O1122" s="294" t="str">
        <f t="shared" si="165"/>
        <v/>
      </c>
      <c r="P1122" s="294"/>
    </row>
    <row r="1123" spans="1:16">
      <c r="A1123" s="294"/>
      <c r="B1123" s="294" t="s">
        <v>601</v>
      </c>
      <c r="C1123" s="294" t="s">
        <v>370</v>
      </c>
      <c r="D1123" s="295" t="s">
        <v>1063</v>
      </c>
      <c r="E1123" s="296">
        <v>6</v>
      </c>
      <c r="F1123" s="294">
        <v>22.7</v>
      </c>
      <c r="G1123" s="308">
        <f t="shared" si="168"/>
        <v>9.8467880000000001</v>
      </c>
      <c r="H1123" s="308"/>
      <c r="I1123" s="294"/>
      <c r="J1123" s="294"/>
      <c r="K1123" s="294">
        <f t="shared" si="142"/>
        <v>1.9552</v>
      </c>
      <c r="L1123" s="294">
        <f t="shared" si="143"/>
        <v>0.71155854365220816</v>
      </c>
      <c r="M1123" s="309">
        <f t="shared" si="169"/>
        <v>3.5298729706243153</v>
      </c>
      <c r="N1123" s="294">
        <v>0</v>
      </c>
      <c r="O1123" s="294" t="str">
        <f t="shared" si="165"/>
        <v/>
      </c>
      <c r="P1123" s="294"/>
    </row>
    <row r="1124" spans="1:16">
      <c r="A1124" s="294"/>
      <c r="B1124" s="294" t="s">
        <v>601</v>
      </c>
      <c r="C1124" s="294" t="s">
        <v>370</v>
      </c>
      <c r="D1124" s="295" t="s">
        <v>1063</v>
      </c>
      <c r="E1124" s="296">
        <v>7</v>
      </c>
      <c r="F1124" s="294">
        <v>26.6</v>
      </c>
      <c r="G1124" s="308">
        <f t="shared" si="168"/>
        <v>9.446059</v>
      </c>
      <c r="H1124" s="308"/>
      <c r="I1124" s="294"/>
      <c r="J1124" s="294"/>
      <c r="K1124" s="294">
        <f t="shared" si="142"/>
        <v>1.8615999999999999</v>
      </c>
      <c r="L1124" s="294">
        <f t="shared" si="143"/>
        <v>0.75143645769154999</v>
      </c>
      <c r="M1124" s="309">
        <f t="shared" si="169"/>
        <v>3.7436320489612269</v>
      </c>
      <c r="N1124" s="294">
        <v>1</v>
      </c>
      <c r="O1124" s="294">
        <f t="shared" si="165"/>
        <v>3.7436320489612269</v>
      </c>
      <c r="P1124" s="294"/>
    </row>
    <row r="1125" spans="1:16">
      <c r="A1125" s="294"/>
      <c r="B1125" s="294" t="s">
        <v>601</v>
      </c>
      <c r="C1125" s="294" t="s">
        <v>370</v>
      </c>
      <c r="D1125" s="295" t="s">
        <v>1063</v>
      </c>
      <c r="E1125" s="296">
        <v>8</v>
      </c>
      <c r="F1125" s="294">
        <v>28.2</v>
      </c>
      <c r="G1125" s="308">
        <f t="shared" si="168"/>
        <v>8.6896734999999996</v>
      </c>
      <c r="H1125" s="308"/>
      <c r="I1125" s="294"/>
      <c r="J1125" s="294"/>
      <c r="K1125" s="294">
        <f t="shared" si="142"/>
        <v>1.8231999999999999</v>
      </c>
      <c r="L1125" s="294">
        <f t="shared" si="143"/>
        <v>0.7663308405802105</v>
      </c>
      <c r="M1125" s="309">
        <f t="shared" si="169"/>
        <v>3.5940925797412486</v>
      </c>
      <c r="N1125" s="294">
        <v>1</v>
      </c>
      <c r="O1125" s="294">
        <f t="shared" si="165"/>
        <v>3.5940925797412486</v>
      </c>
      <c r="P1125" s="294"/>
    </row>
    <row r="1126" spans="1:16">
      <c r="A1126" s="294"/>
      <c r="B1126" s="294" t="s">
        <v>601</v>
      </c>
      <c r="C1126" s="294" t="s">
        <v>370</v>
      </c>
      <c r="D1126" s="295" t="s">
        <v>1063</v>
      </c>
      <c r="E1126" s="296">
        <v>9</v>
      </c>
      <c r="F1126" s="294">
        <v>23.4</v>
      </c>
      <c r="G1126" s="308">
        <f t="shared" si="168"/>
        <v>6.9244161999999996</v>
      </c>
      <c r="H1126" s="308"/>
      <c r="I1126" s="294"/>
      <c r="J1126" s="294"/>
      <c r="K1126" s="294">
        <f t="shared" si="142"/>
        <v>1.9384000000000001</v>
      </c>
      <c r="L1126" s="294">
        <f t="shared" si="143"/>
        <v>0.71908608973973653</v>
      </c>
      <c r="M1126" s="309">
        <f t="shared" si="169"/>
        <v>2.5840684460881489</v>
      </c>
      <c r="N1126" s="294">
        <v>0</v>
      </c>
      <c r="O1126" s="294" t="str">
        <f t="shared" si="165"/>
        <v/>
      </c>
      <c r="P1126" s="294"/>
    </row>
    <row r="1127" spans="1:16">
      <c r="A1127" s="294"/>
      <c r="B1127" s="294" t="s">
        <v>601</v>
      </c>
      <c r="C1127" s="294" t="s">
        <v>370</v>
      </c>
      <c r="D1127" s="295" t="s">
        <v>1063</v>
      </c>
      <c r="E1127" s="296">
        <v>10</v>
      </c>
      <c r="F1127" s="294">
        <v>19</v>
      </c>
      <c r="G1127" s="308">
        <f t="shared" si="168"/>
        <v>3.9141311999999999</v>
      </c>
      <c r="H1127" s="308"/>
      <c r="I1127" s="294"/>
      <c r="J1127" s="294"/>
      <c r="K1127" s="294">
        <f t="shared" si="142"/>
        <v>2.044</v>
      </c>
      <c r="L1127" s="294">
        <f t="shared" si="143"/>
        <v>0.66918429216402076</v>
      </c>
      <c r="M1127" s="309">
        <f t="shared" si="169"/>
        <v>1.3843074406000437</v>
      </c>
      <c r="N1127" s="294">
        <v>0</v>
      </c>
      <c r="O1127" s="294" t="str">
        <f t="shared" si="165"/>
        <v/>
      </c>
      <c r="P1127" s="294"/>
    </row>
    <row r="1128" spans="1:16">
      <c r="A1128" s="294"/>
      <c r="B1128" s="294" t="s">
        <v>601</v>
      </c>
      <c r="C1128" s="294" t="s">
        <v>370</v>
      </c>
      <c r="D1128" s="295" t="s">
        <v>1063</v>
      </c>
      <c r="E1128" s="296">
        <v>11</v>
      </c>
      <c r="F1128" s="294">
        <v>15.2</v>
      </c>
      <c r="G1128" s="308">
        <f t="shared" si="168"/>
        <v>2.5891289999999998</v>
      </c>
      <c r="H1128" s="308"/>
      <c r="I1128" s="294"/>
      <c r="J1128" s="294"/>
      <c r="K1128" s="294">
        <f t="shared" si="142"/>
        <v>2.1352000000000002</v>
      </c>
      <c r="L1128" s="294">
        <f t="shared" si="143"/>
        <v>0.62150446245737101</v>
      </c>
      <c r="M1128" s="309">
        <f t="shared" si="169"/>
        <v>0.89238510299555096</v>
      </c>
      <c r="N1128" s="294">
        <v>0</v>
      </c>
      <c r="O1128" s="294" t="str">
        <f t="shared" si="165"/>
        <v/>
      </c>
      <c r="P1128" s="294"/>
    </row>
    <row r="1129" spans="1:16">
      <c r="A1129" s="294"/>
      <c r="B1129" s="294" t="s">
        <v>601</v>
      </c>
      <c r="C1129" s="294" t="s">
        <v>370</v>
      </c>
      <c r="D1129" s="295" t="s">
        <v>1063</v>
      </c>
      <c r="E1129" s="296">
        <v>12</v>
      </c>
      <c r="F1129" s="294">
        <v>10.4</v>
      </c>
      <c r="G1129" s="308">
        <f t="shared" si="168"/>
        <v>1.3030549999999996</v>
      </c>
      <c r="H1129" s="308"/>
      <c r="I1129" s="294"/>
      <c r="J1129" s="294"/>
      <c r="K1129" s="294">
        <f t="shared" si="142"/>
        <v>2.2504</v>
      </c>
      <c r="L1129" s="294">
        <f t="shared" si="143"/>
        <v>0.55648248816913681</v>
      </c>
      <c r="M1129" s="309">
        <f t="shared" si="169"/>
        <v>0.49031044836250909</v>
      </c>
      <c r="N1129" s="294">
        <v>0</v>
      </c>
      <c r="O1129" s="294" t="str">
        <f t="shared" si="165"/>
        <v/>
      </c>
      <c r="P1129" s="294"/>
    </row>
    <row r="1130" spans="1:16">
      <c r="A1130" s="294">
        <v>95</v>
      </c>
      <c r="B1130" s="294" t="s">
        <v>601</v>
      </c>
      <c r="C1130" s="294" t="s">
        <v>371</v>
      </c>
      <c r="D1130" s="295" t="s">
        <v>1063</v>
      </c>
      <c r="E1130" s="296">
        <v>1</v>
      </c>
      <c r="F1130" s="294">
        <v>8.3000000000000007</v>
      </c>
      <c r="G1130" s="308">
        <f t="shared" si="168"/>
        <v>11.3766526</v>
      </c>
      <c r="H1130" s="294">
        <v>206</v>
      </c>
      <c r="I1130" s="306">
        <v>0.58599999999999997</v>
      </c>
      <c r="J1130" s="307">
        <v>1.87</v>
      </c>
      <c r="K1130" s="294">
        <f t="shared" si="142"/>
        <v>2.3008000000000002</v>
      </c>
      <c r="L1130" s="294">
        <f t="shared" si="143"/>
        <v>0.52686406241145922</v>
      </c>
      <c r="M1130" s="309">
        <f>$I$1130*L1130*(G1130/K1130)+$J$1130</f>
        <v>3.3966230665904096</v>
      </c>
      <c r="N1130" s="294">
        <v>0</v>
      </c>
      <c r="O1130" s="294" t="str">
        <f t="shared" si="165"/>
        <v/>
      </c>
      <c r="P1130" s="294">
        <f>AVERAGE(O1130:O1141)</f>
        <v>6.1283377244739139</v>
      </c>
    </row>
    <row r="1131" spans="1:16">
      <c r="A1131" s="294"/>
      <c r="B1131" s="294" t="s">
        <v>601</v>
      </c>
      <c r="C1131" s="294" t="s">
        <v>371</v>
      </c>
      <c r="D1131" s="295" t="s">
        <v>1063</v>
      </c>
      <c r="E1131" s="296">
        <v>2</v>
      </c>
      <c r="F1131" s="294">
        <v>8.5</v>
      </c>
      <c r="G1131" s="308">
        <f t="shared" si="168"/>
        <v>13.378115840000001</v>
      </c>
      <c r="H1131" s="294">
        <v>196.8</v>
      </c>
      <c r="I1131" s="297"/>
      <c r="J1131" s="297"/>
      <c r="K1131" s="294">
        <f t="shared" si="142"/>
        <v>2.2959999999999998</v>
      </c>
      <c r="L1131" s="294">
        <f t="shared" si="143"/>
        <v>0.5297058216756424</v>
      </c>
      <c r="M1131" s="309">
        <f t="shared" ref="M1131:M1141" si="170">$I$1130*L1131*(G1131/K1131)+$J$1130</f>
        <v>3.6786537388024776</v>
      </c>
      <c r="N1131" s="294">
        <v>0</v>
      </c>
      <c r="O1131" s="294" t="str">
        <f t="shared" si="165"/>
        <v/>
      </c>
      <c r="P1131" s="294"/>
    </row>
    <row r="1132" spans="1:16">
      <c r="A1132" s="294"/>
      <c r="B1132" s="294" t="s">
        <v>601</v>
      </c>
      <c r="C1132" s="294" t="s">
        <v>371</v>
      </c>
      <c r="D1132" s="295" t="s">
        <v>1063</v>
      </c>
      <c r="E1132" s="296">
        <v>3</v>
      </c>
      <c r="F1132" s="294">
        <v>11.7</v>
      </c>
      <c r="G1132" s="308">
        <f t="shared" si="168"/>
        <v>14.960628710000002</v>
      </c>
      <c r="H1132" s="294">
        <v>195.7</v>
      </c>
      <c r="I1132" s="297"/>
      <c r="J1132" s="297"/>
      <c r="K1132" s="294">
        <f t="shared" si="142"/>
        <v>2.2191999999999998</v>
      </c>
      <c r="L1132" s="294">
        <f t="shared" si="143"/>
        <v>0.57451755988603115</v>
      </c>
      <c r="M1132" s="309">
        <f t="shared" si="170"/>
        <v>4.1396261381968458</v>
      </c>
      <c r="N1132" s="294">
        <v>0</v>
      </c>
      <c r="O1132" s="294" t="str">
        <f t="shared" si="165"/>
        <v/>
      </c>
      <c r="P1132" s="294"/>
    </row>
    <row r="1133" spans="1:16">
      <c r="A1133" s="294"/>
      <c r="B1133" s="294" t="s">
        <v>601</v>
      </c>
      <c r="C1133" s="294" t="s">
        <v>371</v>
      </c>
      <c r="D1133" s="295" t="s">
        <v>1063</v>
      </c>
      <c r="E1133" s="296">
        <v>4</v>
      </c>
      <c r="F1133" s="294">
        <v>16.600000000000001</v>
      </c>
      <c r="G1133" s="308">
        <f t="shared" si="168"/>
        <v>13.91883451</v>
      </c>
      <c r="H1133" s="294">
        <v>130.69999999999999</v>
      </c>
      <c r="I1133" s="297"/>
      <c r="J1133" s="297"/>
      <c r="K1133" s="294">
        <f t="shared" si="142"/>
        <v>2.1015999999999999</v>
      </c>
      <c r="L1133" s="294">
        <f t="shared" si="143"/>
        <v>0.63951976529868115</v>
      </c>
      <c r="M1133" s="309">
        <f t="shared" si="170"/>
        <v>4.352014984075419</v>
      </c>
      <c r="N1133" s="294">
        <v>0</v>
      </c>
      <c r="O1133" s="294" t="str">
        <f t="shared" si="165"/>
        <v/>
      </c>
      <c r="P1133" s="294"/>
    </row>
    <row r="1134" spans="1:16">
      <c r="A1134" s="294"/>
      <c r="B1134" s="294" t="s">
        <v>601</v>
      </c>
      <c r="C1134" s="294" t="s">
        <v>371</v>
      </c>
      <c r="D1134" s="295" t="s">
        <v>1063</v>
      </c>
      <c r="E1134" s="296">
        <v>5</v>
      </c>
      <c r="F1134" s="294">
        <v>20</v>
      </c>
      <c r="G1134" s="308">
        <f t="shared" si="168"/>
        <v>19.731814499999999</v>
      </c>
      <c r="H1134" s="294">
        <v>219</v>
      </c>
      <c r="I1134" s="297"/>
      <c r="J1134" s="297"/>
      <c r="K1134" s="294">
        <f t="shared" si="142"/>
        <v>2.02</v>
      </c>
      <c r="L1134" s="294">
        <f t="shared" si="143"/>
        <v>0.68105417257260759</v>
      </c>
      <c r="M1134" s="309">
        <f t="shared" si="170"/>
        <v>5.7684765713985424</v>
      </c>
      <c r="N1134" s="294">
        <v>0</v>
      </c>
      <c r="O1134" s="294" t="str">
        <f t="shared" si="165"/>
        <v/>
      </c>
      <c r="P1134" s="294"/>
    </row>
    <row r="1135" spans="1:16">
      <c r="A1135" s="294"/>
      <c r="B1135" s="294" t="s">
        <v>601</v>
      </c>
      <c r="C1135" s="294" t="s">
        <v>371</v>
      </c>
      <c r="D1135" s="295" t="s">
        <v>1063</v>
      </c>
      <c r="E1135" s="296">
        <v>6</v>
      </c>
      <c r="F1135" s="294">
        <v>21.4</v>
      </c>
      <c r="G1135" s="308">
        <f t="shared" si="168"/>
        <v>14.79473591</v>
      </c>
      <c r="H1135" s="294">
        <v>108.7</v>
      </c>
      <c r="I1135" s="297"/>
      <c r="J1135" s="297"/>
      <c r="K1135" s="294">
        <f t="shared" si="142"/>
        <v>1.9864000000000002</v>
      </c>
      <c r="L1135" s="294">
        <f t="shared" si="143"/>
        <v>0.69715862454510524</v>
      </c>
      <c r="M1135" s="309">
        <f t="shared" si="170"/>
        <v>4.9127742419396263</v>
      </c>
      <c r="N1135" s="294">
        <v>0</v>
      </c>
      <c r="O1135" s="294" t="str">
        <f t="shared" si="165"/>
        <v/>
      </c>
      <c r="P1135" s="294"/>
    </row>
    <row r="1136" spans="1:16">
      <c r="A1136" s="294"/>
      <c r="B1136" s="294" t="s">
        <v>601</v>
      </c>
      <c r="C1136" s="294" t="s">
        <v>371</v>
      </c>
      <c r="D1136" s="295" t="s">
        <v>1063</v>
      </c>
      <c r="E1136" s="296">
        <v>7</v>
      </c>
      <c r="F1136" s="294">
        <v>24.8</v>
      </c>
      <c r="G1136" s="308">
        <f t="shared" si="168"/>
        <v>16.870256830000002</v>
      </c>
      <c r="H1136" s="294">
        <v>163.1</v>
      </c>
      <c r="I1136" s="297"/>
      <c r="J1136" s="297"/>
      <c r="K1136" s="294">
        <f t="shared" si="142"/>
        <v>1.9047999999999998</v>
      </c>
      <c r="L1136" s="294">
        <f t="shared" si="143"/>
        <v>0.73365813797851909</v>
      </c>
      <c r="M1136" s="309">
        <f t="shared" si="170"/>
        <v>5.6777082690501253</v>
      </c>
      <c r="N1136" s="294">
        <v>1</v>
      </c>
      <c r="O1136" s="294">
        <f t="shared" si="165"/>
        <v>5.6777082690501253</v>
      </c>
      <c r="P1136" s="294"/>
    </row>
    <row r="1137" spans="1:16">
      <c r="A1137" s="294"/>
      <c r="B1137" s="294" t="s">
        <v>601</v>
      </c>
      <c r="C1137" s="294" t="s">
        <v>371</v>
      </c>
      <c r="D1137" s="295" t="s">
        <v>1063</v>
      </c>
      <c r="E1137" s="296">
        <v>8</v>
      </c>
      <c r="F1137" s="294">
        <v>27.1</v>
      </c>
      <c r="G1137" s="308">
        <f t="shared" si="168"/>
        <v>19.655272870000001</v>
      </c>
      <c r="H1137" s="294">
        <v>240.9</v>
      </c>
      <c r="I1137" s="297"/>
      <c r="J1137" s="297"/>
      <c r="K1137" s="294">
        <f t="shared" si="142"/>
        <v>1.8495999999999999</v>
      </c>
      <c r="L1137" s="294">
        <f t="shared" si="143"/>
        <v>0.7561827862483661</v>
      </c>
      <c r="M1137" s="309">
        <f t="shared" si="170"/>
        <v>6.5789671798977034</v>
      </c>
      <c r="N1137" s="294">
        <v>1</v>
      </c>
      <c r="O1137" s="294">
        <f t="shared" si="165"/>
        <v>6.5789671798977034</v>
      </c>
      <c r="P1137" s="294"/>
    </row>
    <row r="1138" spans="1:16">
      <c r="A1138" s="294"/>
      <c r="B1138" s="294" t="s">
        <v>601</v>
      </c>
      <c r="C1138" s="294" t="s">
        <v>371</v>
      </c>
      <c r="D1138" s="295" t="s">
        <v>1063</v>
      </c>
      <c r="E1138" s="296">
        <v>9</v>
      </c>
      <c r="F1138" s="294">
        <v>23.3</v>
      </c>
      <c r="G1138" s="308">
        <f t="shared" si="168"/>
        <v>14.61262597</v>
      </c>
      <c r="H1138" s="294">
        <v>168.9</v>
      </c>
      <c r="I1138" s="297"/>
      <c r="J1138" s="297"/>
      <c r="K1138" s="294">
        <f t="shared" si="142"/>
        <v>1.9407999999999999</v>
      </c>
      <c r="L1138" s="294">
        <f t="shared" si="143"/>
        <v>0.71802052338175526</v>
      </c>
      <c r="M1138" s="309">
        <f t="shared" si="170"/>
        <v>5.0379765526171063</v>
      </c>
      <c r="N1138" s="294">
        <v>0</v>
      </c>
      <c r="O1138" s="294" t="str">
        <f t="shared" si="165"/>
        <v/>
      </c>
      <c r="P1138" s="294"/>
    </row>
    <row r="1139" spans="1:16">
      <c r="A1139" s="294"/>
      <c r="B1139" s="294" t="s">
        <v>601</v>
      </c>
      <c r="C1139" s="294" t="s">
        <v>371</v>
      </c>
      <c r="D1139" s="295" t="s">
        <v>1063</v>
      </c>
      <c r="E1139" s="296">
        <v>10</v>
      </c>
      <c r="F1139" s="294">
        <v>19.899999999999999</v>
      </c>
      <c r="G1139" s="308">
        <f t="shared" si="168"/>
        <v>14.775036180000001</v>
      </c>
      <c r="H1139" s="294">
        <v>238.6</v>
      </c>
      <c r="I1139" s="297"/>
      <c r="J1139" s="297"/>
      <c r="K1139" s="294">
        <f t="shared" si="142"/>
        <v>2.0224000000000002</v>
      </c>
      <c r="L1139" s="294">
        <f t="shared" si="143"/>
        <v>0.67988072455324944</v>
      </c>
      <c r="M1139" s="309">
        <f t="shared" si="170"/>
        <v>4.78066243560537</v>
      </c>
      <c r="N1139" s="294">
        <v>0</v>
      </c>
      <c r="O1139" s="294" t="str">
        <f t="shared" si="165"/>
        <v/>
      </c>
      <c r="P1139" s="294"/>
    </row>
    <row r="1140" spans="1:16">
      <c r="A1140" s="294"/>
      <c r="B1140" s="294" t="s">
        <v>601</v>
      </c>
      <c r="C1140" s="294" t="s">
        <v>371</v>
      </c>
      <c r="D1140" s="295" t="s">
        <v>1063</v>
      </c>
      <c r="E1140" s="296">
        <v>11</v>
      </c>
      <c r="F1140" s="294">
        <v>16.899999999999999</v>
      </c>
      <c r="G1140" s="308">
        <f t="shared" si="168"/>
        <v>8.1197239500000009</v>
      </c>
      <c r="H1140" s="294">
        <v>121.5</v>
      </c>
      <c r="I1140" s="297"/>
      <c r="J1140" s="297"/>
      <c r="K1140" s="294">
        <f t="shared" si="142"/>
        <v>2.0944000000000003</v>
      </c>
      <c r="L1140" s="294">
        <f t="shared" si="143"/>
        <v>0.64331460843064392</v>
      </c>
      <c r="M1140" s="309">
        <f t="shared" si="170"/>
        <v>3.3315129400339352</v>
      </c>
      <c r="N1140" s="294">
        <v>0</v>
      </c>
      <c r="O1140" s="294" t="str">
        <f t="shared" si="165"/>
        <v/>
      </c>
      <c r="P1140" s="294"/>
    </row>
    <row r="1141" spans="1:16">
      <c r="A1141" s="294"/>
      <c r="B1141" s="294" t="s">
        <v>601</v>
      </c>
      <c r="C1141" s="294" t="s">
        <v>371</v>
      </c>
      <c r="D1141" s="295" t="s">
        <v>1063</v>
      </c>
      <c r="E1141" s="296">
        <v>12</v>
      </c>
      <c r="F1141" s="294">
        <v>12.5</v>
      </c>
      <c r="G1141" s="308">
        <f t="shared" si="168"/>
        <v>9.851579540000003</v>
      </c>
      <c r="H1141" s="294">
        <v>187.8</v>
      </c>
      <c r="I1141" s="297"/>
      <c r="J1141" s="297"/>
      <c r="K1141" s="294">
        <f t="shared" si="142"/>
        <v>2.2000000000000002</v>
      </c>
      <c r="L1141" s="294">
        <f t="shared" si="143"/>
        <v>0.58547499969373429</v>
      </c>
      <c r="M1141" s="309">
        <f t="shared" si="170"/>
        <v>3.4063464397746728</v>
      </c>
      <c r="N1141" s="294">
        <v>0</v>
      </c>
      <c r="O1141" s="294" t="str">
        <f t="shared" si="165"/>
        <v/>
      </c>
      <c r="P1141" s="294"/>
    </row>
    <row r="1142" spans="1:16">
      <c r="A1142" s="294">
        <v>96</v>
      </c>
      <c r="B1142" s="294" t="s">
        <v>602</v>
      </c>
      <c r="C1142" s="294" t="s">
        <v>372</v>
      </c>
      <c r="D1142" s="295" t="s">
        <v>1063</v>
      </c>
      <c r="E1142" s="296">
        <v>1</v>
      </c>
      <c r="F1142" s="294">
        <v>5.0999999999999996</v>
      </c>
      <c r="G1142" s="308">
        <f t="shared" si="168"/>
        <v>4.6079326899999993</v>
      </c>
      <c r="H1142" s="294">
        <v>57.3</v>
      </c>
      <c r="I1142" s="306">
        <v>0.90700000000000003</v>
      </c>
      <c r="J1142" s="307">
        <v>-0.05</v>
      </c>
      <c r="K1142" s="294">
        <f t="shared" si="142"/>
        <v>2.3776000000000002</v>
      </c>
      <c r="L1142" s="294">
        <f t="shared" si="143"/>
        <v>0.48103743439846536</v>
      </c>
      <c r="M1142" s="309">
        <f>$I$1142*L1142*(G1142/K1142)+$J$1142</f>
        <v>0.79557765141492487</v>
      </c>
      <c r="N1142" s="294">
        <v>0</v>
      </c>
      <c r="O1142" s="294" t="str">
        <f t="shared" si="165"/>
        <v/>
      </c>
      <c r="P1142" s="294">
        <f>AVERAGE(O1142:O1153)</f>
        <v>5.872365276307951</v>
      </c>
    </row>
    <row r="1143" spans="1:16">
      <c r="A1143" s="294"/>
      <c r="B1143" s="294" t="s">
        <v>602</v>
      </c>
      <c r="C1143" s="294" t="s">
        <v>372</v>
      </c>
      <c r="D1143" s="295" t="s">
        <v>1063</v>
      </c>
      <c r="E1143" s="296">
        <v>2</v>
      </c>
      <c r="F1143" s="294">
        <v>5.4</v>
      </c>
      <c r="G1143" s="308">
        <f t="shared" si="168"/>
        <v>7.8702805399999995</v>
      </c>
      <c r="H1143" s="294">
        <v>75.8</v>
      </c>
      <c r="I1143" s="297"/>
      <c r="J1143" s="297"/>
      <c r="K1143" s="294">
        <f t="shared" si="142"/>
        <v>2.3704000000000001</v>
      </c>
      <c r="L1143" s="294">
        <f t="shared" si="143"/>
        <v>0.48535075735081867</v>
      </c>
      <c r="M1143" s="309">
        <f t="shared" ref="M1143:M1153" si="171">$I$1142*L1143*(G1143/K1143)+$J$1142</f>
        <v>1.4116102282027234</v>
      </c>
      <c r="N1143" s="294">
        <v>0</v>
      </c>
      <c r="O1143" s="294" t="str">
        <f t="shared" si="165"/>
        <v/>
      </c>
      <c r="P1143" s="294"/>
    </row>
    <row r="1144" spans="1:16">
      <c r="A1144" s="294"/>
      <c r="B1144" s="294" t="s">
        <v>602</v>
      </c>
      <c r="C1144" s="294" t="s">
        <v>372</v>
      </c>
      <c r="D1144" s="295" t="s">
        <v>1063</v>
      </c>
      <c r="E1144" s="296">
        <v>3</v>
      </c>
      <c r="F1144" s="294">
        <v>8.3000000000000007</v>
      </c>
      <c r="G1144" s="308">
        <f t="shared" si="168"/>
        <v>13.70884796</v>
      </c>
      <c r="H1144" s="294">
        <v>168.2</v>
      </c>
      <c r="I1144" s="297"/>
      <c r="J1144" s="297"/>
      <c r="K1144" s="294">
        <f t="shared" si="142"/>
        <v>2.3008000000000002</v>
      </c>
      <c r="L1144" s="294">
        <f t="shared" si="143"/>
        <v>0.52686406241145922</v>
      </c>
      <c r="M1144" s="309">
        <f t="shared" si="171"/>
        <v>2.7972654249644853</v>
      </c>
      <c r="N1144" s="294">
        <v>0</v>
      </c>
      <c r="O1144" s="294" t="str">
        <f t="shared" si="165"/>
        <v/>
      </c>
      <c r="P1144" s="294"/>
    </row>
    <row r="1145" spans="1:16">
      <c r="A1145" s="294"/>
      <c r="B1145" s="294" t="s">
        <v>602</v>
      </c>
      <c r="C1145" s="294" t="s">
        <v>372</v>
      </c>
      <c r="D1145" s="295" t="s">
        <v>1063</v>
      </c>
      <c r="E1145" s="296">
        <v>4</v>
      </c>
      <c r="F1145" s="294">
        <v>13.9</v>
      </c>
      <c r="G1145" s="308">
        <f t="shared" si="168"/>
        <v>16.317701620000001</v>
      </c>
      <c r="H1145" s="294">
        <v>183.4</v>
      </c>
      <c r="I1145" s="297"/>
      <c r="J1145" s="297"/>
      <c r="K1145" s="294">
        <f t="shared" si="142"/>
        <v>2.1663999999999999</v>
      </c>
      <c r="L1145" s="294">
        <f t="shared" si="143"/>
        <v>0.60435349971924368</v>
      </c>
      <c r="M1145" s="309">
        <f t="shared" si="171"/>
        <v>4.0787507818727784</v>
      </c>
      <c r="N1145" s="294">
        <v>0</v>
      </c>
      <c r="O1145" s="294" t="str">
        <f t="shared" si="165"/>
        <v/>
      </c>
      <c r="P1145" s="294"/>
    </row>
    <row r="1146" spans="1:16">
      <c r="A1146" s="294"/>
      <c r="B1146" s="294" t="s">
        <v>602</v>
      </c>
      <c r="C1146" s="294" t="s">
        <v>372</v>
      </c>
      <c r="D1146" s="295" t="s">
        <v>1063</v>
      </c>
      <c r="E1146" s="296">
        <v>5</v>
      </c>
      <c r="F1146" s="294">
        <v>19.5</v>
      </c>
      <c r="G1146" s="308">
        <f t="shared" si="168"/>
        <v>21.302230350000002</v>
      </c>
      <c r="H1146" s="294">
        <v>253.5</v>
      </c>
      <c r="I1146" s="297"/>
      <c r="J1146" s="297"/>
      <c r="K1146" s="294">
        <f t="shared" si="142"/>
        <v>2.032</v>
      </c>
      <c r="L1146" s="294">
        <f t="shared" si="143"/>
        <v>0.67515667435506088</v>
      </c>
      <c r="M1146" s="309">
        <f t="shared" si="171"/>
        <v>6.3696777069401875</v>
      </c>
      <c r="N1146" s="294">
        <v>0</v>
      </c>
      <c r="O1146" s="294" t="str">
        <f t="shared" si="165"/>
        <v/>
      </c>
      <c r="P1146" s="294"/>
    </row>
    <row r="1147" spans="1:16">
      <c r="A1147" s="294"/>
      <c r="B1147" s="294" t="s">
        <v>602</v>
      </c>
      <c r="C1147" s="294" t="s">
        <v>372</v>
      </c>
      <c r="D1147" s="295" t="s">
        <v>1063</v>
      </c>
      <c r="E1147" s="296">
        <v>6</v>
      </c>
      <c r="F1147" s="294">
        <v>21.6</v>
      </c>
      <c r="G1147" s="308">
        <f t="shared" si="168"/>
        <v>17.098012490000002</v>
      </c>
      <c r="H1147" s="294">
        <v>159.30000000000001</v>
      </c>
      <c r="I1147" s="297"/>
      <c r="J1147" s="297"/>
      <c r="K1147" s="294">
        <f t="shared" si="142"/>
        <v>1.9815999999999998</v>
      </c>
      <c r="L1147" s="294">
        <f t="shared" si="143"/>
        <v>0.69940915925890268</v>
      </c>
      <c r="M1147" s="309">
        <f t="shared" si="171"/>
        <v>5.4235392775285689</v>
      </c>
      <c r="N1147" s="294">
        <v>0</v>
      </c>
      <c r="O1147" s="294" t="str">
        <f t="shared" si="165"/>
        <v/>
      </c>
      <c r="P1147" s="294"/>
    </row>
    <row r="1148" spans="1:16">
      <c r="A1148" s="294"/>
      <c r="B1148" s="294" t="s">
        <v>602</v>
      </c>
      <c r="C1148" s="294" t="s">
        <v>372</v>
      </c>
      <c r="D1148" s="295" t="s">
        <v>1063</v>
      </c>
      <c r="E1148" s="296">
        <v>7</v>
      </c>
      <c r="F1148" s="294">
        <v>25.8</v>
      </c>
      <c r="G1148" s="308">
        <f t="shared" si="168"/>
        <v>15.62757994</v>
      </c>
      <c r="H1148" s="294">
        <v>135.80000000000001</v>
      </c>
      <c r="I1148" s="297"/>
      <c r="J1148" s="297"/>
      <c r="K1148" s="294">
        <f t="shared" si="142"/>
        <v>1.8807999999999998</v>
      </c>
      <c r="L1148" s="294">
        <f t="shared" si="143"/>
        <v>0.74366850574375487</v>
      </c>
      <c r="M1148" s="309">
        <f t="shared" si="171"/>
        <v>5.5544860130212612</v>
      </c>
      <c r="N1148" s="294">
        <v>1</v>
      </c>
      <c r="O1148" s="294">
        <f t="shared" si="165"/>
        <v>5.5544860130212612</v>
      </c>
      <c r="P1148" s="294"/>
    </row>
    <row r="1149" spans="1:16">
      <c r="A1149" s="294"/>
      <c r="B1149" s="294" t="s">
        <v>602</v>
      </c>
      <c r="C1149" s="294" t="s">
        <v>372</v>
      </c>
      <c r="D1149" s="295" t="s">
        <v>1063</v>
      </c>
      <c r="E1149" s="296">
        <v>8</v>
      </c>
      <c r="F1149" s="294">
        <v>26.1</v>
      </c>
      <c r="G1149" s="308">
        <f t="shared" si="168"/>
        <v>17.26550962</v>
      </c>
      <c r="H1149" s="294">
        <v>188.4</v>
      </c>
      <c r="I1149" s="297"/>
      <c r="J1149" s="297"/>
      <c r="K1149" s="294">
        <f t="shared" si="142"/>
        <v>1.8735999999999999</v>
      </c>
      <c r="L1149" s="294">
        <f t="shared" si="143"/>
        <v>0.74660655364901107</v>
      </c>
      <c r="M1149" s="309">
        <f t="shared" si="171"/>
        <v>6.1902445395946399</v>
      </c>
      <c r="N1149" s="294">
        <v>1</v>
      </c>
      <c r="O1149" s="294">
        <f t="shared" si="165"/>
        <v>6.1902445395946399</v>
      </c>
      <c r="P1149" s="294"/>
    </row>
    <row r="1150" spans="1:16">
      <c r="A1150" s="294"/>
      <c r="B1150" s="294" t="s">
        <v>602</v>
      </c>
      <c r="C1150" s="294" t="s">
        <v>372</v>
      </c>
      <c r="D1150" s="295" t="s">
        <v>1063</v>
      </c>
      <c r="E1150" s="296">
        <v>9</v>
      </c>
      <c r="F1150" s="294">
        <v>21.2</v>
      </c>
      <c r="G1150" s="308">
        <f t="shared" ref="G1150:G1181" si="172">$T$11+$T$12*H1150+INDEX($T$13:$T$24,MATCH(E1150,$S$13:$S$24,0),1)</f>
        <v>13.40636452</v>
      </c>
      <c r="H1150" s="294">
        <v>142.4</v>
      </c>
      <c r="I1150" s="297"/>
      <c r="J1150" s="297"/>
      <c r="K1150" s="294">
        <f t="shared" si="142"/>
        <v>1.9912000000000001</v>
      </c>
      <c r="L1150" s="294">
        <f t="shared" si="143"/>
        <v>0.69489543911089335</v>
      </c>
      <c r="M1150" s="309">
        <f t="shared" si="171"/>
        <v>4.1934871207942619</v>
      </c>
      <c r="N1150" s="294">
        <v>0</v>
      </c>
      <c r="O1150" s="294" t="str">
        <f t="shared" si="165"/>
        <v/>
      </c>
      <c r="P1150" s="294"/>
    </row>
    <row r="1151" spans="1:16">
      <c r="A1151" s="294"/>
      <c r="B1151" s="294" t="s">
        <v>602</v>
      </c>
      <c r="C1151" s="294" t="s">
        <v>372</v>
      </c>
      <c r="D1151" s="295" t="s">
        <v>1063</v>
      </c>
      <c r="E1151" s="296">
        <v>10</v>
      </c>
      <c r="F1151" s="294">
        <v>16.600000000000001</v>
      </c>
      <c r="G1151" s="308">
        <f t="shared" si="172"/>
        <v>13.78271544</v>
      </c>
      <c r="H1151" s="294">
        <v>216.8</v>
      </c>
      <c r="I1151" s="297"/>
      <c r="J1151" s="297"/>
      <c r="K1151" s="294">
        <f t="shared" si="142"/>
        <v>2.1015999999999999</v>
      </c>
      <c r="L1151" s="294">
        <f t="shared" si="143"/>
        <v>0.63951976529868115</v>
      </c>
      <c r="M1151" s="309">
        <f t="shared" si="171"/>
        <v>3.7540480023002241</v>
      </c>
      <c r="N1151" s="294">
        <v>0</v>
      </c>
      <c r="O1151" s="294" t="str">
        <f t="shared" si="165"/>
        <v/>
      </c>
      <c r="P1151" s="294"/>
    </row>
    <row r="1152" spans="1:16">
      <c r="A1152" s="294"/>
      <c r="B1152" s="294" t="s">
        <v>602</v>
      </c>
      <c r="C1152" s="294" t="s">
        <v>372</v>
      </c>
      <c r="D1152" s="295" t="s">
        <v>1063</v>
      </c>
      <c r="E1152" s="296">
        <v>11</v>
      </c>
      <c r="F1152" s="294">
        <v>13.4</v>
      </c>
      <c r="G1152" s="308">
        <f t="shared" si="172"/>
        <v>6.6039312599999995</v>
      </c>
      <c r="H1152" s="294">
        <v>88.2</v>
      </c>
      <c r="I1152" s="297"/>
      <c r="J1152" s="297"/>
      <c r="K1152" s="294">
        <f t="shared" si="142"/>
        <v>2.1783999999999999</v>
      </c>
      <c r="L1152" s="294">
        <f t="shared" si="143"/>
        <v>0.59765717915425864</v>
      </c>
      <c r="M1152" s="309">
        <f t="shared" si="171"/>
        <v>1.5933283344929619</v>
      </c>
      <c r="N1152" s="294">
        <v>0</v>
      </c>
      <c r="O1152" s="294" t="str">
        <f t="shared" si="165"/>
        <v/>
      </c>
      <c r="P1152" s="294"/>
    </row>
    <row r="1153" spans="1:16">
      <c r="A1153" s="294"/>
      <c r="B1153" s="294" t="s">
        <v>602</v>
      </c>
      <c r="C1153" s="294" t="s">
        <v>372</v>
      </c>
      <c r="D1153" s="295" t="s">
        <v>1063</v>
      </c>
      <c r="E1153" s="296">
        <v>12</v>
      </c>
      <c r="F1153" s="294">
        <v>8.3000000000000007</v>
      </c>
      <c r="G1153" s="308">
        <f t="shared" si="172"/>
        <v>4.9172874200000001</v>
      </c>
      <c r="H1153" s="294">
        <v>79.400000000000006</v>
      </c>
      <c r="I1153" s="297"/>
      <c r="J1153" s="297"/>
      <c r="K1153" s="294">
        <f t="shared" si="142"/>
        <v>2.3008000000000002</v>
      </c>
      <c r="L1153" s="294">
        <f t="shared" si="143"/>
        <v>0.52686406241145922</v>
      </c>
      <c r="M1153" s="309">
        <f t="shared" si="171"/>
        <v>0.97129825178824269</v>
      </c>
      <c r="N1153" s="294">
        <v>0</v>
      </c>
      <c r="O1153" s="294" t="str">
        <f t="shared" si="165"/>
        <v/>
      </c>
      <c r="P1153" s="294"/>
    </row>
    <row r="1154" spans="1:16">
      <c r="A1154" s="294">
        <v>97</v>
      </c>
      <c r="B1154" s="294" t="s">
        <v>602</v>
      </c>
      <c r="C1154" s="294" t="s">
        <v>373</v>
      </c>
      <c r="D1154" s="295" t="s">
        <v>1063</v>
      </c>
      <c r="E1154" s="296">
        <v>1</v>
      </c>
      <c r="F1154" s="294">
        <v>4.9000000000000004</v>
      </c>
      <c r="G1154" s="308">
        <f t="shared" si="172"/>
        <v>4.0389414399999994</v>
      </c>
      <c r="H1154" s="294">
        <v>44.8</v>
      </c>
      <c r="I1154" s="306">
        <v>0.98399999999999999</v>
      </c>
      <c r="J1154" s="307">
        <v>0.02</v>
      </c>
      <c r="K1154" s="294">
        <f t="shared" si="142"/>
        <v>2.3824000000000001</v>
      </c>
      <c r="L1154" s="294">
        <f t="shared" si="143"/>
        <v>0.47816140006637126</v>
      </c>
      <c r="M1154" s="309">
        <f>$I$1154*L1154*(G1154/K1154)+$J$1154</f>
        <v>0.81766858606308834</v>
      </c>
      <c r="N1154" s="294">
        <v>0</v>
      </c>
      <c r="O1154" s="294" t="str">
        <f t="shared" ref="O1154:O1217" si="173">IF(N1154*M1154=0,"",N1154*M1154)</f>
        <v/>
      </c>
      <c r="P1154" s="294">
        <f>AVERAGE(O1154:O1165)</f>
        <v>6.7320454117394952</v>
      </c>
    </row>
    <row r="1155" spans="1:16">
      <c r="A1155" s="294"/>
      <c r="B1155" s="294" t="s">
        <v>602</v>
      </c>
      <c r="C1155" s="294" t="s">
        <v>373</v>
      </c>
      <c r="D1155" s="295" t="s">
        <v>1063</v>
      </c>
      <c r="E1155" s="296">
        <v>2</v>
      </c>
      <c r="F1155" s="294">
        <v>5.2</v>
      </c>
      <c r="G1155" s="308">
        <f t="shared" si="172"/>
        <v>7.6882033399999994</v>
      </c>
      <c r="H1155" s="294">
        <v>71.8</v>
      </c>
      <c r="I1155" s="297"/>
      <c r="J1155" s="297"/>
      <c r="K1155" s="294">
        <f t="shared" si="142"/>
        <v>2.3752</v>
      </c>
      <c r="L1155" s="294">
        <f t="shared" si="143"/>
        <v>0.48247533207240734</v>
      </c>
      <c r="M1155" s="309">
        <f t="shared" ref="M1155:M1165" si="174">$I$1154*L1155*(G1155/K1155)+$J$1154</f>
        <v>1.5567205137060391</v>
      </c>
      <c r="N1155" s="294">
        <v>0</v>
      </c>
      <c r="O1155" s="294" t="str">
        <f t="shared" si="173"/>
        <v/>
      </c>
      <c r="P1155" s="294"/>
    </row>
    <row r="1156" spans="1:16">
      <c r="A1156" s="294"/>
      <c r="B1156" s="294" t="s">
        <v>602</v>
      </c>
      <c r="C1156" s="294" t="s">
        <v>373</v>
      </c>
      <c r="D1156" s="295" t="s">
        <v>1063</v>
      </c>
      <c r="E1156" s="296">
        <v>3</v>
      </c>
      <c r="F1156" s="294">
        <v>8.3000000000000007</v>
      </c>
      <c r="G1156" s="308">
        <f t="shared" si="172"/>
        <v>12.90315635</v>
      </c>
      <c r="H1156" s="294">
        <v>150.5</v>
      </c>
      <c r="I1156" s="297"/>
      <c r="J1156" s="297"/>
      <c r="K1156" s="294">
        <f t="shared" si="142"/>
        <v>2.3008000000000002</v>
      </c>
      <c r="L1156" s="294">
        <f t="shared" si="143"/>
        <v>0.52686406241145922</v>
      </c>
      <c r="M1156" s="309">
        <f t="shared" si="174"/>
        <v>2.9274400306551445</v>
      </c>
      <c r="N1156" s="294">
        <v>0</v>
      </c>
      <c r="O1156" s="294" t="str">
        <f t="shared" si="173"/>
        <v/>
      </c>
      <c r="P1156" s="294"/>
    </row>
    <row r="1157" spans="1:16">
      <c r="A1157" s="294"/>
      <c r="B1157" s="294" t="s">
        <v>602</v>
      </c>
      <c r="C1157" s="294" t="s">
        <v>373</v>
      </c>
      <c r="D1157" s="295" t="s">
        <v>1063</v>
      </c>
      <c r="E1157" s="296">
        <v>4</v>
      </c>
      <c r="F1157" s="294">
        <v>14</v>
      </c>
      <c r="G1157" s="308">
        <f t="shared" si="172"/>
        <v>15.944443359999999</v>
      </c>
      <c r="H1157" s="294">
        <v>175.2</v>
      </c>
      <c r="I1157" s="297"/>
      <c r="J1157" s="297"/>
      <c r="K1157" s="294">
        <f t="shared" si="142"/>
        <v>2.1640000000000001</v>
      </c>
      <c r="L1157" s="294">
        <f t="shared" si="143"/>
        <v>0.60568633538959626</v>
      </c>
      <c r="M1157" s="309">
        <f t="shared" si="174"/>
        <v>4.4113189302442946</v>
      </c>
      <c r="N1157" s="294">
        <v>0</v>
      </c>
      <c r="O1157" s="294" t="str">
        <f t="shared" si="173"/>
        <v/>
      </c>
      <c r="P1157" s="294"/>
    </row>
    <row r="1158" spans="1:16">
      <c r="A1158" s="294"/>
      <c r="B1158" s="294" t="s">
        <v>602</v>
      </c>
      <c r="C1158" s="294" t="s">
        <v>373</v>
      </c>
      <c r="D1158" s="295" t="s">
        <v>1063</v>
      </c>
      <c r="E1158" s="296">
        <v>5</v>
      </c>
      <c r="F1158" s="294">
        <v>19.399999999999999</v>
      </c>
      <c r="G1158" s="308">
        <f t="shared" si="172"/>
        <v>21.00180297</v>
      </c>
      <c r="H1158" s="294">
        <v>246.9</v>
      </c>
      <c r="I1158" s="297"/>
      <c r="J1158" s="297"/>
      <c r="K1158" s="294">
        <f t="shared" si="142"/>
        <v>2.0344000000000002</v>
      </c>
      <c r="L1158" s="294">
        <f t="shared" si="143"/>
        <v>0.67396814722434939</v>
      </c>
      <c r="M1158" s="309">
        <f t="shared" si="174"/>
        <v>6.86628071976246</v>
      </c>
      <c r="N1158" s="294">
        <v>0</v>
      </c>
      <c r="O1158" s="294" t="str">
        <f t="shared" si="173"/>
        <v/>
      </c>
      <c r="P1158" s="294"/>
    </row>
    <row r="1159" spans="1:16">
      <c r="A1159" s="294"/>
      <c r="B1159" s="294" t="s">
        <v>602</v>
      </c>
      <c r="C1159" s="294" t="s">
        <v>373</v>
      </c>
      <c r="D1159" s="295" t="s">
        <v>1063</v>
      </c>
      <c r="E1159" s="296">
        <v>6</v>
      </c>
      <c r="F1159" s="294">
        <v>21.8</v>
      </c>
      <c r="G1159" s="308">
        <f t="shared" si="172"/>
        <v>16.74751388</v>
      </c>
      <c r="H1159" s="294">
        <v>151.6</v>
      </c>
      <c r="I1159" s="297"/>
      <c r="J1159" s="297"/>
      <c r="K1159" s="294">
        <f t="shared" si="142"/>
        <v>1.9767999999999999</v>
      </c>
      <c r="L1159" s="294">
        <f t="shared" si="143"/>
        <v>0.70164698620294608</v>
      </c>
      <c r="M1159" s="309">
        <f t="shared" si="174"/>
        <v>5.869266065383095</v>
      </c>
      <c r="N1159" s="294">
        <v>0</v>
      </c>
      <c r="O1159" s="294" t="str">
        <f t="shared" si="173"/>
        <v/>
      </c>
      <c r="P1159" s="294"/>
    </row>
    <row r="1160" spans="1:16">
      <c r="A1160" s="294"/>
      <c r="B1160" s="294" t="s">
        <v>602</v>
      </c>
      <c r="C1160" s="294" t="s">
        <v>373</v>
      </c>
      <c r="D1160" s="295" t="s">
        <v>1063</v>
      </c>
      <c r="E1160" s="296">
        <v>7</v>
      </c>
      <c r="F1160" s="294">
        <v>26</v>
      </c>
      <c r="G1160" s="308">
        <f t="shared" si="172"/>
        <v>16.419615759999999</v>
      </c>
      <c r="H1160" s="294">
        <v>153.19999999999999</v>
      </c>
      <c r="I1160" s="297"/>
      <c r="J1160" s="297"/>
      <c r="K1160" s="294">
        <f t="shared" si="142"/>
        <v>1.8759999999999999</v>
      </c>
      <c r="L1160" s="294">
        <f t="shared" si="143"/>
        <v>0.74563054537472673</v>
      </c>
      <c r="M1160" s="309">
        <f t="shared" si="174"/>
        <v>6.441684211678413</v>
      </c>
      <c r="N1160" s="294">
        <v>1</v>
      </c>
      <c r="O1160" s="294">
        <f t="shared" si="173"/>
        <v>6.441684211678413</v>
      </c>
      <c r="P1160" s="294"/>
    </row>
    <row r="1161" spans="1:16">
      <c r="A1161" s="294"/>
      <c r="B1161" s="294" t="s">
        <v>602</v>
      </c>
      <c r="C1161" s="294" t="s">
        <v>373</v>
      </c>
      <c r="D1161" s="295" t="s">
        <v>1063</v>
      </c>
      <c r="E1161" s="296">
        <v>8</v>
      </c>
      <c r="F1161" s="294">
        <v>26.3</v>
      </c>
      <c r="G1161" s="308">
        <f t="shared" si="172"/>
        <v>17.766221920000003</v>
      </c>
      <c r="H1161" s="294">
        <v>199.4</v>
      </c>
      <c r="I1161" s="297"/>
      <c r="J1161" s="297"/>
      <c r="K1161" s="294">
        <f t="shared" si="142"/>
        <v>1.8688</v>
      </c>
      <c r="L1161" s="294">
        <f t="shared" si="143"/>
        <v>0.74854854390536441</v>
      </c>
      <c r="M1161" s="309">
        <f t="shared" si="174"/>
        <v>7.0224066118005775</v>
      </c>
      <c r="N1161" s="294">
        <v>1</v>
      </c>
      <c r="O1161" s="294">
        <f t="shared" si="173"/>
        <v>7.0224066118005775</v>
      </c>
      <c r="P1161" s="294"/>
    </row>
    <row r="1162" spans="1:16">
      <c r="A1162" s="294"/>
      <c r="B1162" s="294" t="s">
        <v>602</v>
      </c>
      <c r="C1162" s="294" t="s">
        <v>373</v>
      </c>
      <c r="D1162" s="295" t="s">
        <v>1063</v>
      </c>
      <c r="E1162" s="296">
        <v>9</v>
      </c>
      <c r="F1162" s="294">
        <v>21.1</v>
      </c>
      <c r="G1162" s="308">
        <f t="shared" si="172"/>
        <v>12.86468485</v>
      </c>
      <c r="H1162" s="294">
        <v>130.5</v>
      </c>
      <c r="I1162" s="297"/>
      <c r="J1162" s="297"/>
      <c r="K1162" s="294">
        <f t="shared" si="142"/>
        <v>1.9935999999999998</v>
      </c>
      <c r="L1162" s="294">
        <f t="shared" si="143"/>
        <v>0.69375912088466873</v>
      </c>
      <c r="M1162" s="309">
        <f t="shared" si="174"/>
        <v>4.4251929036729569</v>
      </c>
      <c r="N1162" s="294">
        <v>0</v>
      </c>
      <c r="O1162" s="294" t="str">
        <f t="shared" si="173"/>
        <v/>
      </c>
      <c r="P1162" s="294"/>
    </row>
    <row r="1163" spans="1:16">
      <c r="A1163" s="294"/>
      <c r="B1163" s="294" t="s">
        <v>602</v>
      </c>
      <c r="C1163" s="294" t="s">
        <v>373</v>
      </c>
      <c r="D1163" s="295" t="s">
        <v>1063</v>
      </c>
      <c r="E1163" s="296">
        <v>10</v>
      </c>
      <c r="F1163" s="294">
        <v>16.5</v>
      </c>
      <c r="G1163" s="308">
        <f t="shared" si="172"/>
        <v>13.318418579999999</v>
      </c>
      <c r="H1163" s="294">
        <v>206.6</v>
      </c>
      <c r="I1163" s="297"/>
      <c r="J1163" s="297"/>
      <c r="K1163" s="294">
        <f t="shared" si="142"/>
        <v>2.1040000000000001</v>
      </c>
      <c r="L1163" s="294">
        <f t="shared" si="143"/>
        <v>0.63824954026778424</v>
      </c>
      <c r="M1163" s="309">
        <f t="shared" si="174"/>
        <v>3.995507102284436</v>
      </c>
      <c r="N1163" s="294">
        <v>0</v>
      </c>
      <c r="O1163" s="294" t="str">
        <f t="shared" si="173"/>
        <v/>
      </c>
      <c r="P1163" s="294"/>
    </row>
    <row r="1164" spans="1:16">
      <c r="A1164" s="294"/>
      <c r="B1164" s="294" t="s">
        <v>602</v>
      </c>
      <c r="C1164" s="294" t="s">
        <v>373</v>
      </c>
      <c r="D1164" s="295" t="s">
        <v>1063</v>
      </c>
      <c r="E1164" s="296">
        <v>11</v>
      </c>
      <c r="F1164" s="294">
        <v>13.5</v>
      </c>
      <c r="G1164" s="308">
        <f t="shared" si="172"/>
        <v>6.2670884400000002</v>
      </c>
      <c r="H1164" s="294">
        <v>80.8</v>
      </c>
      <c r="I1164" s="297"/>
      <c r="J1164" s="297"/>
      <c r="K1164" s="294">
        <f t="shared" si="142"/>
        <v>2.1760000000000002</v>
      </c>
      <c r="L1164" s="294">
        <f t="shared" si="143"/>
        <v>0.59900066448276601</v>
      </c>
      <c r="M1164" s="309">
        <f t="shared" si="174"/>
        <v>1.7175764235723092</v>
      </c>
      <c r="N1164" s="294">
        <v>0</v>
      </c>
      <c r="O1164" s="294" t="str">
        <f t="shared" si="173"/>
        <v/>
      </c>
      <c r="P1164" s="294"/>
    </row>
    <row r="1165" spans="1:16">
      <c r="A1165" s="294"/>
      <c r="B1165" s="294" t="s">
        <v>602</v>
      </c>
      <c r="C1165" s="294" t="s">
        <v>373</v>
      </c>
      <c r="D1165" s="295" t="s">
        <v>1063</v>
      </c>
      <c r="E1165" s="296">
        <v>12</v>
      </c>
      <c r="F1165" s="294">
        <v>8.1999999999999993</v>
      </c>
      <c r="G1165" s="308">
        <f t="shared" si="172"/>
        <v>5.1676435700000001</v>
      </c>
      <c r="H1165" s="294">
        <v>84.9</v>
      </c>
      <c r="I1165" s="297"/>
      <c r="J1165" s="297"/>
      <c r="K1165" s="294">
        <f t="shared" si="142"/>
        <v>2.3031999999999999</v>
      </c>
      <c r="L1165" s="294">
        <f t="shared" si="143"/>
        <v>0.52544179948777858</v>
      </c>
      <c r="M1165" s="309">
        <f t="shared" si="174"/>
        <v>1.1800604383239548</v>
      </c>
      <c r="N1165" s="294">
        <v>0</v>
      </c>
      <c r="O1165" s="294" t="str">
        <f t="shared" si="173"/>
        <v/>
      </c>
      <c r="P1165" s="294"/>
    </row>
    <row r="1166" spans="1:16">
      <c r="A1166" s="294">
        <v>98</v>
      </c>
      <c r="B1166" s="294" t="s">
        <v>602</v>
      </c>
      <c r="C1166" s="294" t="s">
        <v>374</v>
      </c>
      <c r="D1166" s="295" t="s">
        <v>1063</v>
      </c>
      <c r="E1166" s="296">
        <v>1</v>
      </c>
      <c r="F1166" s="294">
        <v>5</v>
      </c>
      <c r="G1166" s="308">
        <f t="shared" si="172"/>
        <v>4.6352442700000003</v>
      </c>
      <c r="H1166" s="294">
        <v>57.9</v>
      </c>
      <c r="I1166" s="306">
        <v>0.86099999999999999</v>
      </c>
      <c r="J1166" s="307">
        <v>0.61</v>
      </c>
      <c r="K1166" s="294">
        <f t="shared" si="142"/>
        <v>2.38</v>
      </c>
      <c r="L1166" s="294">
        <f t="shared" si="143"/>
        <v>0.47959944832182527</v>
      </c>
      <c r="M1166" s="309">
        <f>$I$1166*L1166*(G1166/K1166)+$J$1166</f>
        <v>1.4142248622107498</v>
      </c>
      <c r="N1166" s="294">
        <v>0</v>
      </c>
      <c r="O1166" s="294" t="str">
        <f t="shared" si="173"/>
        <v/>
      </c>
      <c r="P1166" s="294">
        <f>AVERAGE(O1166:O1177)</f>
        <v>6.2250880997260687</v>
      </c>
    </row>
    <row r="1167" spans="1:16">
      <c r="A1167" s="294"/>
      <c r="B1167" s="294" t="s">
        <v>602</v>
      </c>
      <c r="C1167" s="294" t="s">
        <v>374</v>
      </c>
      <c r="D1167" s="295" t="s">
        <v>1063</v>
      </c>
      <c r="E1167" s="296">
        <v>2</v>
      </c>
      <c r="F1167" s="294">
        <v>4.9000000000000004</v>
      </c>
      <c r="G1167" s="308">
        <f t="shared" si="172"/>
        <v>8.4984468799999995</v>
      </c>
      <c r="H1167" s="294">
        <v>89.6</v>
      </c>
      <c r="I1167" s="297"/>
      <c r="J1167" s="297"/>
      <c r="K1167" s="294">
        <f t="shared" si="142"/>
        <v>2.3824000000000001</v>
      </c>
      <c r="L1167" s="294">
        <f t="shared" si="143"/>
        <v>0.47816140006637126</v>
      </c>
      <c r="M1167" s="309">
        <f t="shared" ref="M1167:M1177" si="175">$I$1166*L1167*(G1167/K1167)+$J$1166</f>
        <v>2.0785967056727448</v>
      </c>
      <c r="N1167" s="294">
        <v>0</v>
      </c>
      <c r="O1167" s="294" t="str">
        <f t="shared" si="173"/>
        <v/>
      </c>
      <c r="P1167" s="294"/>
    </row>
    <row r="1168" spans="1:16">
      <c r="A1168" s="294"/>
      <c r="B1168" s="294" t="s">
        <v>602</v>
      </c>
      <c r="C1168" s="294" t="s">
        <v>374</v>
      </c>
      <c r="D1168" s="295" t="s">
        <v>1063</v>
      </c>
      <c r="E1168" s="296">
        <v>3</v>
      </c>
      <c r="F1168" s="294">
        <v>7.5</v>
      </c>
      <c r="G1168" s="308">
        <f t="shared" si="172"/>
        <v>14.491779919999999</v>
      </c>
      <c r="H1168" s="294">
        <v>185.4</v>
      </c>
      <c r="I1168" s="297"/>
      <c r="J1168" s="297"/>
      <c r="K1168" s="294">
        <f t="shared" si="142"/>
        <v>2.3199999999999998</v>
      </c>
      <c r="L1168" s="294">
        <f t="shared" si="143"/>
        <v>0.51546248616696222</v>
      </c>
      <c r="M1168" s="309">
        <f t="shared" si="175"/>
        <v>3.3822600123006623</v>
      </c>
      <c r="N1168" s="294">
        <v>0</v>
      </c>
      <c r="O1168" s="294" t="str">
        <f t="shared" si="173"/>
        <v/>
      </c>
      <c r="P1168" s="294"/>
    </row>
    <row r="1169" spans="1:16">
      <c r="A1169" s="294"/>
      <c r="B1169" s="294" t="s">
        <v>602</v>
      </c>
      <c r="C1169" s="294" t="s">
        <v>374</v>
      </c>
      <c r="D1169" s="295" t="s">
        <v>1063</v>
      </c>
      <c r="E1169" s="296">
        <v>4</v>
      </c>
      <c r="F1169" s="294">
        <v>12.6</v>
      </c>
      <c r="G1169" s="308">
        <f t="shared" si="172"/>
        <v>16.722823390000002</v>
      </c>
      <c r="H1169" s="294">
        <v>192.3</v>
      </c>
      <c r="I1169" s="297"/>
      <c r="J1169" s="297"/>
      <c r="K1169" s="294">
        <f t="shared" ref="K1169:K1232" si="176">2.5-0.024*F1169</f>
        <v>2.1976</v>
      </c>
      <c r="L1169" s="294">
        <f t="shared" ref="L1169:L1232" si="177">1/(1.05+1.4*EXP(-0.0604*F1169))</f>
        <v>0.58683640404243798</v>
      </c>
      <c r="M1169" s="309">
        <f t="shared" si="175"/>
        <v>4.4548655301513405</v>
      </c>
      <c r="N1169" s="294">
        <v>0</v>
      </c>
      <c r="O1169" s="294" t="str">
        <f t="shared" si="173"/>
        <v/>
      </c>
      <c r="P1169" s="294"/>
    </row>
    <row r="1170" spans="1:16">
      <c r="A1170" s="294"/>
      <c r="B1170" s="294" t="s">
        <v>602</v>
      </c>
      <c r="C1170" s="294" t="s">
        <v>374</v>
      </c>
      <c r="D1170" s="295" t="s">
        <v>1063</v>
      </c>
      <c r="E1170" s="296">
        <v>5</v>
      </c>
      <c r="F1170" s="294">
        <v>17.7</v>
      </c>
      <c r="G1170" s="308">
        <f t="shared" si="172"/>
        <v>21.752871419999998</v>
      </c>
      <c r="H1170" s="294">
        <v>263.39999999999998</v>
      </c>
      <c r="I1170" s="297"/>
      <c r="J1170" s="297"/>
      <c r="K1170" s="294">
        <f t="shared" si="176"/>
        <v>2.0752000000000002</v>
      </c>
      <c r="L1170" s="294">
        <f t="shared" si="177"/>
        <v>0.65331554390309887</v>
      </c>
      <c r="M1170" s="309">
        <f t="shared" si="175"/>
        <v>6.5063435085702963</v>
      </c>
      <c r="N1170" s="294">
        <v>0</v>
      </c>
      <c r="O1170" s="294" t="str">
        <f t="shared" si="173"/>
        <v/>
      </c>
      <c r="P1170" s="294"/>
    </row>
    <row r="1171" spans="1:16">
      <c r="A1171" s="294"/>
      <c r="B1171" s="294" t="s">
        <v>602</v>
      </c>
      <c r="C1171" s="294" t="s">
        <v>374</v>
      </c>
      <c r="D1171" s="295" t="s">
        <v>1063</v>
      </c>
      <c r="E1171" s="296">
        <v>6</v>
      </c>
      <c r="F1171" s="294">
        <v>20.3</v>
      </c>
      <c r="G1171" s="308">
        <f t="shared" si="172"/>
        <v>17.11166828</v>
      </c>
      <c r="H1171" s="294">
        <v>159.6</v>
      </c>
      <c r="I1171" s="297"/>
      <c r="J1171" s="297"/>
      <c r="K1171" s="294">
        <f t="shared" si="176"/>
        <v>2.0127999999999999</v>
      </c>
      <c r="L1171" s="294">
        <f t="shared" si="177"/>
        <v>0.6845562077113948</v>
      </c>
      <c r="M1171" s="309">
        <f t="shared" si="175"/>
        <v>5.6207645169740834</v>
      </c>
      <c r="N1171" s="294">
        <v>0</v>
      </c>
      <c r="O1171" s="294" t="str">
        <f t="shared" si="173"/>
        <v/>
      </c>
      <c r="P1171" s="294"/>
    </row>
    <row r="1172" spans="1:16">
      <c r="A1172" s="294"/>
      <c r="B1172" s="294" t="s">
        <v>602</v>
      </c>
      <c r="C1172" s="294" t="s">
        <v>374</v>
      </c>
      <c r="D1172" s="295" t="s">
        <v>1063</v>
      </c>
      <c r="E1172" s="296">
        <v>7</v>
      </c>
      <c r="F1172" s="294">
        <v>24.1</v>
      </c>
      <c r="G1172" s="308">
        <f t="shared" si="172"/>
        <v>16.210226980000002</v>
      </c>
      <c r="H1172" s="294">
        <v>148.6</v>
      </c>
      <c r="I1172" s="297"/>
      <c r="J1172" s="297"/>
      <c r="K1172" s="294">
        <f t="shared" si="176"/>
        <v>1.9216</v>
      </c>
      <c r="L1172" s="294">
        <f t="shared" si="177"/>
        <v>0.72645305067252686</v>
      </c>
      <c r="M1172" s="309">
        <f t="shared" si="175"/>
        <v>5.8863890365927887</v>
      </c>
      <c r="N1172" s="294">
        <v>1</v>
      </c>
      <c r="O1172" s="294">
        <f t="shared" si="173"/>
        <v>5.8863890365927887</v>
      </c>
      <c r="P1172" s="294"/>
    </row>
    <row r="1173" spans="1:16">
      <c r="A1173" s="294"/>
      <c r="B1173" s="294" t="s">
        <v>602</v>
      </c>
      <c r="C1173" s="294" t="s">
        <v>374</v>
      </c>
      <c r="D1173" s="295" t="s">
        <v>1063</v>
      </c>
      <c r="E1173" s="296">
        <v>8</v>
      </c>
      <c r="F1173" s="294">
        <v>25.1</v>
      </c>
      <c r="G1173" s="308">
        <f t="shared" si="172"/>
        <v>17.811741220000002</v>
      </c>
      <c r="H1173" s="294">
        <v>200.4</v>
      </c>
      <c r="I1173" s="297"/>
      <c r="J1173" s="297"/>
      <c r="K1173" s="294">
        <f t="shared" si="176"/>
        <v>1.8976</v>
      </c>
      <c r="L1173" s="294">
        <f t="shared" si="177"/>
        <v>0.73669623234985304</v>
      </c>
      <c r="M1173" s="309">
        <f t="shared" si="175"/>
        <v>6.5637871628593487</v>
      </c>
      <c r="N1173" s="294">
        <v>1</v>
      </c>
      <c r="O1173" s="294">
        <f t="shared" si="173"/>
        <v>6.5637871628593487</v>
      </c>
      <c r="P1173" s="294"/>
    </row>
    <row r="1174" spans="1:16">
      <c r="A1174" s="294"/>
      <c r="B1174" s="294" t="s">
        <v>602</v>
      </c>
      <c r="C1174" s="294" t="s">
        <v>374</v>
      </c>
      <c r="D1174" s="295" t="s">
        <v>1063</v>
      </c>
      <c r="E1174" s="296">
        <v>9</v>
      </c>
      <c r="F1174" s="294">
        <v>21</v>
      </c>
      <c r="G1174" s="308">
        <f t="shared" si="172"/>
        <v>14.262127359999999</v>
      </c>
      <c r="H1174" s="294">
        <v>161.19999999999999</v>
      </c>
      <c r="I1174" s="297"/>
      <c r="J1174" s="297"/>
      <c r="K1174" s="294">
        <f t="shared" si="176"/>
        <v>1.996</v>
      </c>
      <c r="L1174" s="294">
        <f t="shared" si="177"/>
        <v>0.69261966250512974</v>
      </c>
      <c r="M1174" s="309">
        <f t="shared" si="175"/>
        <v>4.8711001458470395</v>
      </c>
      <c r="N1174" s="294">
        <v>0</v>
      </c>
      <c r="O1174" s="294" t="str">
        <f t="shared" si="173"/>
        <v/>
      </c>
      <c r="P1174" s="294"/>
    </row>
    <row r="1175" spans="1:16">
      <c r="A1175" s="294"/>
      <c r="B1175" s="294" t="s">
        <v>602</v>
      </c>
      <c r="C1175" s="294" t="s">
        <v>374</v>
      </c>
      <c r="D1175" s="295" t="s">
        <v>1063</v>
      </c>
      <c r="E1175" s="296">
        <v>10</v>
      </c>
      <c r="F1175" s="294">
        <v>16.600000000000001</v>
      </c>
      <c r="G1175" s="308">
        <f t="shared" si="172"/>
        <v>13.445872619999999</v>
      </c>
      <c r="H1175" s="294">
        <v>209.4</v>
      </c>
      <c r="I1175" s="297"/>
      <c r="J1175" s="297"/>
      <c r="K1175" s="294">
        <f t="shared" si="176"/>
        <v>2.1015999999999999</v>
      </c>
      <c r="L1175" s="294">
        <f t="shared" si="177"/>
        <v>0.63951976529868115</v>
      </c>
      <c r="M1175" s="309">
        <f t="shared" si="175"/>
        <v>4.1328654459343213</v>
      </c>
      <c r="N1175" s="294">
        <v>0</v>
      </c>
      <c r="O1175" s="294" t="str">
        <f t="shared" si="173"/>
        <v/>
      </c>
      <c r="P1175" s="294"/>
    </row>
    <row r="1176" spans="1:16">
      <c r="A1176" s="294"/>
      <c r="B1176" s="294" t="s">
        <v>602</v>
      </c>
      <c r="C1176" s="294" t="s">
        <v>374</v>
      </c>
      <c r="D1176" s="295" t="s">
        <v>1063</v>
      </c>
      <c r="E1176" s="296">
        <v>11</v>
      </c>
      <c r="F1176" s="294">
        <v>13.4</v>
      </c>
      <c r="G1176" s="308">
        <f t="shared" si="172"/>
        <v>6.1760498399999992</v>
      </c>
      <c r="H1176" s="294">
        <v>78.8</v>
      </c>
      <c r="I1176" s="297"/>
      <c r="J1176" s="297"/>
      <c r="K1176" s="294">
        <f t="shared" si="176"/>
        <v>2.1783999999999999</v>
      </c>
      <c r="L1176" s="294">
        <f t="shared" si="177"/>
        <v>0.59765717915425864</v>
      </c>
      <c r="M1176" s="309">
        <f t="shared" si="175"/>
        <v>2.0689098478789614</v>
      </c>
      <c r="N1176" s="294">
        <v>0</v>
      </c>
      <c r="O1176" s="294" t="str">
        <f t="shared" si="173"/>
        <v/>
      </c>
      <c r="P1176" s="294"/>
    </row>
    <row r="1177" spans="1:16">
      <c r="A1177" s="294"/>
      <c r="B1177" s="294" t="s">
        <v>602</v>
      </c>
      <c r="C1177" s="294" t="s">
        <v>374</v>
      </c>
      <c r="D1177" s="295" t="s">
        <v>1063</v>
      </c>
      <c r="E1177" s="296">
        <v>12</v>
      </c>
      <c r="F1177" s="294">
        <v>8.1999999999999993</v>
      </c>
      <c r="G1177" s="308">
        <f t="shared" si="172"/>
        <v>4.3801596799999993</v>
      </c>
      <c r="H1177" s="294">
        <v>67.599999999999994</v>
      </c>
      <c r="I1177" s="297"/>
      <c r="J1177" s="297"/>
      <c r="K1177" s="294">
        <f t="shared" si="176"/>
        <v>2.3031999999999999</v>
      </c>
      <c r="L1177" s="294">
        <f t="shared" si="177"/>
        <v>0.52544179948777858</v>
      </c>
      <c r="M1177" s="309">
        <f t="shared" si="175"/>
        <v>1.470371589738144</v>
      </c>
      <c r="N1177" s="294">
        <v>0</v>
      </c>
      <c r="O1177" s="294" t="str">
        <f t="shared" si="173"/>
        <v/>
      </c>
      <c r="P1177" s="294"/>
    </row>
    <row r="1178" spans="1:16">
      <c r="A1178" s="294">
        <v>99</v>
      </c>
      <c r="B1178" s="294" t="s">
        <v>602</v>
      </c>
      <c r="C1178" s="294" t="s">
        <v>603</v>
      </c>
      <c r="D1178" s="295" t="s">
        <v>1063</v>
      </c>
      <c r="E1178" s="296">
        <v>1</v>
      </c>
      <c r="F1178" s="294">
        <v>5.5</v>
      </c>
      <c r="G1178" s="308">
        <f t="shared" si="172"/>
        <v>4.5442056700000011</v>
      </c>
      <c r="H1178" s="294">
        <v>55.9</v>
      </c>
      <c r="I1178" s="306">
        <v>0.79</v>
      </c>
      <c r="J1178" s="307">
        <v>-0.03</v>
      </c>
      <c r="K1178" s="294">
        <f t="shared" si="176"/>
        <v>2.3679999999999999</v>
      </c>
      <c r="L1178" s="294">
        <f t="shared" si="177"/>
        <v>0.48678823254741066</v>
      </c>
      <c r="M1178" s="309">
        <f>$I$1178*L1178*(G1178/K1178)+$J$1178</f>
        <v>0.70797804842933532</v>
      </c>
      <c r="N1178" s="294">
        <v>0</v>
      </c>
      <c r="O1178" s="294" t="str">
        <f t="shared" si="173"/>
        <v/>
      </c>
      <c r="P1178" s="294">
        <f>AVERAGE(O1178:O1189)</f>
        <v>5.2091713413640104</v>
      </c>
    </row>
    <row r="1179" spans="1:16">
      <c r="A1179" s="294"/>
      <c r="B1179" s="294" t="s">
        <v>602</v>
      </c>
      <c r="C1179" s="294" t="s">
        <v>603</v>
      </c>
      <c r="D1179" s="295" t="s">
        <v>1063</v>
      </c>
      <c r="E1179" s="296">
        <v>2</v>
      </c>
      <c r="F1179" s="294">
        <v>5.7</v>
      </c>
      <c r="G1179" s="308">
        <f t="shared" si="172"/>
        <v>7.9340075599999995</v>
      </c>
      <c r="H1179" s="294">
        <v>77.2</v>
      </c>
      <c r="I1179" s="297"/>
      <c r="J1179" s="297"/>
      <c r="K1179" s="294">
        <f t="shared" si="176"/>
        <v>2.3632</v>
      </c>
      <c r="L1179" s="294">
        <f t="shared" si="177"/>
        <v>0.48966257712415773</v>
      </c>
      <c r="M1179" s="309">
        <f t="shared" ref="M1179:M1189" si="178">$I$1178*L1179*(G1179/K1179)+$J$1178</f>
        <v>1.268721820038168</v>
      </c>
      <c r="N1179" s="294">
        <v>0</v>
      </c>
      <c r="O1179" s="294" t="str">
        <f t="shared" si="173"/>
        <v/>
      </c>
      <c r="P1179" s="294"/>
    </row>
    <row r="1180" spans="1:16">
      <c r="A1180" s="294"/>
      <c r="B1180" s="294" t="s">
        <v>602</v>
      </c>
      <c r="C1180" s="294" t="s">
        <v>603</v>
      </c>
      <c r="D1180" s="295" t="s">
        <v>1063</v>
      </c>
      <c r="E1180" s="296">
        <v>3</v>
      </c>
      <c r="F1180" s="294">
        <v>8.6</v>
      </c>
      <c r="G1180" s="308">
        <f t="shared" si="172"/>
        <v>13.6997441</v>
      </c>
      <c r="H1180" s="294">
        <v>168</v>
      </c>
      <c r="I1180" s="297"/>
      <c r="J1180" s="297"/>
      <c r="K1180" s="294">
        <f t="shared" si="176"/>
        <v>2.2936000000000001</v>
      </c>
      <c r="L1180" s="294">
        <f t="shared" si="177"/>
        <v>0.53112526804205062</v>
      </c>
      <c r="M1180" s="309">
        <f t="shared" si="178"/>
        <v>2.4762179121049015</v>
      </c>
      <c r="N1180" s="294">
        <v>0</v>
      </c>
      <c r="O1180" s="294" t="str">
        <f t="shared" si="173"/>
        <v/>
      </c>
      <c r="P1180" s="294"/>
    </row>
    <row r="1181" spans="1:16">
      <c r="A1181" s="294"/>
      <c r="B1181" s="294" t="s">
        <v>602</v>
      </c>
      <c r="C1181" s="294" t="s">
        <v>603</v>
      </c>
      <c r="D1181" s="295" t="s">
        <v>1063</v>
      </c>
      <c r="E1181" s="296">
        <v>4</v>
      </c>
      <c r="F1181" s="294">
        <v>14</v>
      </c>
      <c r="G1181" s="308">
        <f t="shared" si="172"/>
        <v>16.272182319999999</v>
      </c>
      <c r="H1181" s="294">
        <v>182.4</v>
      </c>
      <c r="I1181" s="297"/>
      <c r="J1181" s="297"/>
      <c r="K1181" s="294">
        <f t="shared" si="176"/>
        <v>2.1640000000000001</v>
      </c>
      <c r="L1181" s="294">
        <f t="shared" si="177"/>
        <v>0.60568633538959626</v>
      </c>
      <c r="M1181" s="309">
        <f t="shared" si="178"/>
        <v>3.5680186681015806</v>
      </c>
      <c r="N1181" s="294">
        <v>0</v>
      </c>
      <c r="O1181" s="294" t="str">
        <f t="shared" si="173"/>
        <v/>
      </c>
      <c r="P1181" s="294"/>
    </row>
    <row r="1182" spans="1:16">
      <c r="A1182" s="294"/>
      <c r="B1182" s="294" t="s">
        <v>602</v>
      </c>
      <c r="C1182" s="294" t="s">
        <v>603</v>
      </c>
      <c r="D1182" s="295" t="s">
        <v>1063</v>
      </c>
      <c r="E1182" s="296">
        <v>5</v>
      </c>
      <c r="F1182" s="294">
        <v>19.399999999999999</v>
      </c>
      <c r="G1182" s="308">
        <f t="shared" ref="G1182:G1201" si="179">$T$11+$T$12*H1182+INDEX($T$13:$T$24,MATCH(E1182,$S$13:$S$24,0),1)</f>
        <v>21.5525865</v>
      </c>
      <c r="H1182" s="294">
        <v>259</v>
      </c>
      <c r="I1182" s="297"/>
      <c r="J1182" s="297"/>
      <c r="K1182" s="294">
        <f t="shared" si="176"/>
        <v>2.0344000000000002</v>
      </c>
      <c r="L1182" s="294">
        <f t="shared" si="177"/>
        <v>0.67396814722434939</v>
      </c>
      <c r="M1182" s="309">
        <f t="shared" si="178"/>
        <v>5.6106546722006705</v>
      </c>
      <c r="N1182" s="294">
        <v>0</v>
      </c>
      <c r="O1182" s="294" t="str">
        <f t="shared" si="173"/>
        <v/>
      </c>
      <c r="P1182" s="294"/>
    </row>
    <row r="1183" spans="1:16">
      <c r="A1183" s="294"/>
      <c r="B1183" s="294" t="s">
        <v>602</v>
      </c>
      <c r="C1183" s="294" t="s">
        <v>603</v>
      </c>
      <c r="D1183" s="295" t="s">
        <v>1063</v>
      </c>
      <c r="E1183" s="296">
        <v>6</v>
      </c>
      <c r="F1183" s="294">
        <v>21.5</v>
      </c>
      <c r="G1183" s="308">
        <f t="shared" si="179"/>
        <v>17.057045119999998</v>
      </c>
      <c r="H1183" s="294">
        <v>158.4</v>
      </c>
      <c r="I1183" s="297"/>
      <c r="J1183" s="297"/>
      <c r="K1183" s="294">
        <f t="shared" si="176"/>
        <v>1.984</v>
      </c>
      <c r="L1183" s="294">
        <f t="shared" si="177"/>
        <v>0.69828547686607079</v>
      </c>
      <c r="M1183" s="309">
        <f t="shared" si="178"/>
        <v>4.712662620756439</v>
      </c>
      <c r="N1183" s="294">
        <v>0</v>
      </c>
      <c r="O1183" s="294" t="str">
        <f t="shared" si="173"/>
        <v/>
      </c>
      <c r="P1183" s="294"/>
    </row>
    <row r="1184" spans="1:16">
      <c r="A1184" s="294"/>
      <c r="B1184" s="294" t="s">
        <v>602</v>
      </c>
      <c r="C1184" s="294" t="s">
        <v>603</v>
      </c>
      <c r="D1184" s="295" t="s">
        <v>1063</v>
      </c>
      <c r="E1184" s="296">
        <v>7</v>
      </c>
      <c r="F1184" s="294">
        <v>25.7</v>
      </c>
      <c r="G1184" s="308">
        <f t="shared" si="179"/>
        <v>16.091876800000001</v>
      </c>
      <c r="H1184" s="294">
        <v>146</v>
      </c>
      <c r="I1184" s="297"/>
      <c r="J1184" s="297"/>
      <c r="K1184" s="294">
        <f t="shared" si="176"/>
        <v>1.8832</v>
      </c>
      <c r="L1184" s="294">
        <f t="shared" si="177"/>
        <v>0.74268247605162208</v>
      </c>
      <c r="M1184" s="309">
        <f t="shared" si="178"/>
        <v>4.9834942522578096</v>
      </c>
      <c r="N1184" s="294">
        <v>1</v>
      </c>
      <c r="O1184" s="294">
        <f t="shared" si="173"/>
        <v>4.9834942522578096</v>
      </c>
      <c r="P1184" s="294"/>
    </row>
    <row r="1185" spans="1:16">
      <c r="A1185" s="294"/>
      <c r="B1185" s="294" t="s">
        <v>602</v>
      </c>
      <c r="C1185" s="294" t="s">
        <v>603</v>
      </c>
      <c r="D1185" s="295" t="s">
        <v>1063</v>
      </c>
      <c r="E1185" s="296">
        <v>8</v>
      </c>
      <c r="F1185" s="294">
        <v>26.3</v>
      </c>
      <c r="G1185" s="308">
        <f t="shared" si="179"/>
        <v>17.270061550000001</v>
      </c>
      <c r="H1185" s="294">
        <v>188.5</v>
      </c>
      <c r="I1185" s="297"/>
      <c r="J1185" s="297"/>
      <c r="K1185" s="294">
        <f t="shared" si="176"/>
        <v>1.8688</v>
      </c>
      <c r="L1185" s="294">
        <f t="shared" si="177"/>
        <v>0.74854854390536441</v>
      </c>
      <c r="M1185" s="309">
        <f t="shared" si="178"/>
        <v>5.4348484304702112</v>
      </c>
      <c r="N1185" s="294">
        <v>1</v>
      </c>
      <c r="O1185" s="294">
        <f t="shared" si="173"/>
        <v>5.4348484304702112</v>
      </c>
      <c r="P1185" s="294"/>
    </row>
    <row r="1186" spans="1:16">
      <c r="A1186" s="294"/>
      <c r="B1186" s="294" t="s">
        <v>602</v>
      </c>
      <c r="C1186" s="294" t="s">
        <v>603</v>
      </c>
      <c r="D1186" s="295" t="s">
        <v>1063</v>
      </c>
      <c r="E1186" s="296">
        <v>9</v>
      </c>
      <c r="F1186" s="294">
        <v>21.6</v>
      </c>
      <c r="G1186" s="308">
        <f t="shared" si="179"/>
        <v>13.374501009999999</v>
      </c>
      <c r="H1186" s="294">
        <v>141.69999999999999</v>
      </c>
      <c r="I1186" s="297"/>
      <c r="J1186" s="297"/>
      <c r="K1186" s="294">
        <f t="shared" si="176"/>
        <v>1.9815999999999998</v>
      </c>
      <c r="L1186" s="294">
        <f t="shared" si="177"/>
        <v>0.69940915925890268</v>
      </c>
      <c r="M1186" s="309">
        <f t="shared" si="178"/>
        <v>3.6992371419358308</v>
      </c>
      <c r="N1186" s="294">
        <v>0</v>
      </c>
      <c r="O1186" s="294" t="str">
        <f t="shared" si="173"/>
        <v/>
      </c>
      <c r="P1186" s="294"/>
    </row>
    <row r="1187" spans="1:16">
      <c r="A1187" s="294"/>
      <c r="B1187" s="294" t="s">
        <v>602</v>
      </c>
      <c r="C1187" s="294" t="s">
        <v>603</v>
      </c>
      <c r="D1187" s="295" t="s">
        <v>1063</v>
      </c>
      <c r="E1187" s="296">
        <v>10</v>
      </c>
      <c r="F1187" s="294">
        <v>17.2</v>
      </c>
      <c r="G1187" s="308">
        <f t="shared" si="179"/>
        <v>13.254691559999998</v>
      </c>
      <c r="H1187" s="294">
        <v>205.2</v>
      </c>
      <c r="I1187" s="297"/>
      <c r="J1187" s="297"/>
      <c r="K1187" s="294">
        <f t="shared" si="176"/>
        <v>2.0872000000000002</v>
      </c>
      <c r="L1187" s="294">
        <f t="shared" si="177"/>
        <v>0.64708539575733404</v>
      </c>
      <c r="M1187" s="309">
        <f t="shared" si="178"/>
        <v>3.2163418424960497</v>
      </c>
      <c r="N1187" s="294">
        <v>0</v>
      </c>
      <c r="O1187" s="294" t="str">
        <f t="shared" si="173"/>
        <v/>
      </c>
      <c r="P1187" s="294"/>
    </row>
    <row r="1188" spans="1:16">
      <c r="A1188" s="294"/>
      <c r="B1188" s="294" t="s">
        <v>602</v>
      </c>
      <c r="C1188" s="294" t="s">
        <v>603</v>
      </c>
      <c r="D1188" s="295" t="s">
        <v>1063</v>
      </c>
      <c r="E1188" s="296">
        <v>11</v>
      </c>
      <c r="F1188" s="294">
        <v>13.9</v>
      </c>
      <c r="G1188" s="308">
        <f t="shared" si="179"/>
        <v>6.33536739</v>
      </c>
      <c r="H1188" s="294">
        <v>82.3</v>
      </c>
      <c r="I1188" s="297"/>
      <c r="J1188" s="297"/>
      <c r="K1188" s="294">
        <f t="shared" si="176"/>
        <v>2.1663999999999999</v>
      </c>
      <c r="L1188" s="294">
        <f t="shared" si="177"/>
        <v>0.60435349971924368</v>
      </c>
      <c r="M1188" s="309">
        <f t="shared" si="178"/>
        <v>1.3662117562691101</v>
      </c>
      <c r="N1188" s="294">
        <v>0</v>
      </c>
      <c r="O1188" s="294" t="str">
        <f t="shared" si="173"/>
        <v/>
      </c>
      <c r="P1188" s="294"/>
    </row>
    <row r="1189" spans="1:16">
      <c r="A1189" s="294"/>
      <c r="B1189" s="294" t="s">
        <v>602</v>
      </c>
      <c r="C1189" s="294" t="s">
        <v>603</v>
      </c>
      <c r="D1189" s="295" t="s">
        <v>1063</v>
      </c>
      <c r="E1189" s="296">
        <v>12</v>
      </c>
      <c r="F1189" s="294">
        <v>8.6999999999999993</v>
      </c>
      <c r="G1189" s="308">
        <f t="shared" si="179"/>
        <v>4.3983674000000006</v>
      </c>
      <c r="H1189" s="294">
        <v>68</v>
      </c>
      <c r="I1189" s="297"/>
      <c r="J1189" s="297"/>
      <c r="K1189" s="294">
        <f t="shared" si="176"/>
        <v>2.2911999999999999</v>
      </c>
      <c r="L1189" s="294">
        <f t="shared" si="177"/>
        <v>0.53254372569577879</v>
      </c>
      <c r="M1189" s="309">
        <f t="shared" si="178"/>
        <v>0.77762706883647714</v>
      </c>
      <c r="N1189" s="294">
        <v>0</v>
      </c>
      <c r="O1189" s="294" t="str">
        <f t="shared" si="173"/>
        <v/>
      </c>
      <c r="P1189" s="294"/>
    </row>
    <row r="1190" spans="1:16">
      <c r="A1190" s="294">
        <v>100</v>
      </c>
      <c r="B1190" s="294" t="s">
        <v>602</v>
      </c>
      <c r="C1190" s="294" t="s">
        <v>604</v>
      </c>
      <c r="D1190" s="295" t="s">
        <v>1063</v>
      </c>
      <c r="E1190" s="296">
        <v>1</v>
      </c>
      <c r="F1190" s="294">
        <v>6.7</v>
      </c>
      <c r="G1190" s="308">
        <f t="shared" si="179"/>
        <v>4.9811909499999993</v>
      </c>
      <c r="H1190" s="294">
        <v>65.5</v>
      </c>
      <c r="I1190" s="306">
        <v>0.68500000000000005</v>
      </c>
      <c r="J1190" s="307">
        <v>1.08</v>
      </c>
      <c r="K1190" s="294">
        <f t="shared" si="176"/>
        <v>2.3391999999999999</v>
      </c>
      <c r="L1190" s="294">
        <f t="shared" si="177"/>
        <v>0.50401539269658691</v>
      </c>
      <c r="M1190" s="309">
        <f>$I$1190*L1190*(G1190/K1190)+$J$1190</f>
        <v>1.815191041912295</v>
      </c>
      <c r="N1190" s="294">
        <v>0</v>
      </c>
      <c r="O1190" s="294" t="str">
        <f t="shared" si="173"/>
        <v/>
      </c>
      <c r="P1190" s="294">
        <f>AVERAGE(O1190:O1201)</f>
        <v>5.7241468906347643</v>
      </c>
    </row>
    <row r="1191" spans="1:16">
      <c r="A1191" s="294"/>
      <c r="B1191" s="294" t="s">
        <v>602</v>
      </c>
      <c r="C1191" s="294" t="s">
        <v>604</v>
      </c>
      <c r="D1191" s="295" t="s">
        <v>1063</v>
      </c>
      <c r="E1191" s="296">
        <v>2</v>
      </c>
      <c r="F1191" s="294">
        <v>6.4</v>
      </c>
      <c r="G1191" s="308">
        <f t="shared" si="179"/>
        <v>7.8111054499999995</v>
      </c>
      <c r="H1191" s="294">
        <v>74.5</v>
      </c>
      <c r="I1191" s="297"/>
      <c r="J1191" s="297"/>
      <c r="K1191" s="294">
        <f t="shared" si="176"/>
        <v>2.3464</v>
      </c>
      <c r="L1191" s="294">
        <f t="shared" si="177"/>
        <v>0.49971367779083725</v>
      </c>
      <c r="M1191" s="309">
        <f t="shared" ref="M1191:M1201" si="180">$I$1190*L1191*(G1191/K1191)+$J$1190</f>
        <v>2.2195208058905616</v>
      </c>
      <c r="N1191" s="294">
        <v>0</v>
      </c>
      <c r="O1191" s="294" t="str">
        <f t="shared" si="173"/>
        <v/>
      </c>
      <c r="P1191" s="294"/>
    </row>
    <row r="1192" spans="1:16">
      <c r="A1192" s="294"/>
      <c r="B1192" s="294" t="s">
        <v>602</v>
      </c>
      <c r="C1192" s="294" t="s">
        <v>604</v>
      </c>
      <c r="D1192" s="295" t="s">
        <v>1063</v>
      </c>
      <c r="E1192" s="296">
        <v>3</v>
      </c>
      <c r="F1192" s="294">
        <v>9</v>
      </c>
      <c r="G1192" s="308">
        <f t="shared" si="179"/>
        <v>14.450812550000002</v>
      </c>
      <c r="H1192" s="294">
        <v>184.5</v>
      </c>
      <c r="I1192" s="297"/>
      <c r="J1192" s="297"/>
      <c r="K1192" s="294">
        <f t="shared" si="176"/>
        <v>2.2839999999999998</v>
      </c>
      <c r="L1192" s="294">
        <f t="shared" si="177"/>
        <v>0.53679291860732048</v>
      </c>
      <c r="M1192" s="309">
        <f t="shared" si="180"/>
        <v>3.4064488983357406</v>
      </c>
      <c r="N1192" s="294">
        <v>0</v>
      </c>
      <c r="O1192" s="294" t="str">
        <f t="shared" si="173"/>
        <v/>
      </c>
      <c r="P1192" s="294"/>
    </row>
    <row r="1193" spans="1:16">
      <c r="A1193" s="294"/>
      <c r="B1193" s="294" t="s">
        <v>602</v>
      </c>
      <c r="C1193" s="294" t="s">
        <v>604</v>
      </c>
      <c r="D1193" s="295" t="s">
        <v>1063</v>
      </c>
      <c r="E1193" s="296">
        <v>4</v>
      </c>
      <c r="F1193" s="294">
        <v>14</v>
      </c>
      <c r="G1193" s="308">
        <f t="shared" si="179"/>
        <v>16.04913775</v>
      </c>
      <c r="H1193" s="294">
        <v>177.5</v>
      </c>
      <c r="I1193" s="297"/>
      <c r="J1193" s="297"/>
      <c r="K1193" s="294">
        <f t="shared" si="176"/>
        <v>2.1640000000000001</v>
      </c>
      <c r="L1193" s="294">
        <f t="shared" si="177"/>
        <v>0.60568633538959626</v>
      </c>
      <c r="M1193" s="309">
        <f t="shared" si="180"/>
        <v>4.1570375459902156</v>
      </c>
      <c r="N1193" s="294">
        <v>0</v>
      </c>
      <c r="O1193" s="294" t="str">
        <f t="shared" si="173"/>
        <v/>
      </c>
      <c r="P1193" s="294"/>
    </row>
    <row r="1194" spans="1:16">
      <c r="A1194" s="294"/>
      <c r="B1194" s="294" t="s">
        <v>602</v>
      </c>
      <c r="C1194" s="294" t="s">
        <v>604</v>
      </c>
      <c r="D1194" s="295" t="s">
        <v>1063</v>
      </c>
      <c r="E1194" s="296">
        <v>5</v>
      </c>
      <c r="F1194" s="294">
        <v>18.5</v>
      </c>
      <c r="G1194" s="308">
        <f t="shared" si="179"/>
        <v>20.906212440000001</v>
      </c>
      <c r="H1194" s="294">
        <v>244.8</v>
      </c>
      <c r="I1194" s="297"/>
      <c r="J1194" s="297"/>
      <c r="K1194" s="294">
        <f t="shared" si="176"/>
        <v>2.056</v>
      </c>
      <c r="L1194" s="294">
        <f t="shared" si="177"/>
        <v>0.6631383655085662</v>
      </c>
      <c r="M1194" s="309">
        <f t="shared" si="180"/>
        <v>5.6989894986911338</v>
      </c>
      <c r="N1194" s="294">
        <v>0</v>
      </c>
      <c r="O1194" s="294" t="str">
        <f t="shared" si="173"/>
        <v/>
      </c>
      <c r="P1194" s="294"/>
    </row>
    <row r="1195" spans="1:16">
      <c r="A1195" s="294"/>
      <c r="B1195" s="294" t="s">
        <v>602</v>
      </c>
      <c r="C1195" s="294" t="s">
        <v>604</v>
      </c>
      <c r="D1195" s="295" t="s">
        <v>1063</v>
      </c>
      <c r="E1195" s="296">
        <v>6</v>
      </c>
      <c r="F1195" s="294">
        <v>20.9</v>
      </c>
      <c r="G1195" s="308">
        <f t="shared" si="179"/>
        <v>16.943246869999999</v>
      </c>
      <c r="H1195" s="294">
        <v>155.9</v>
      </c>
      <c r="I1195" s="297"/>
      <c r="J1195" s="297"/>
      <c r="K1195" s="294">
        <f t="shared" si="176"/>
        <v>1.9984000000000002</v>
      </c>
      <c r="L1195" s="294">
        <f t="shared" si="177"/>
        <v>0.69147707180847306</v>
      </c>
      <c r="M1195" s="309">
        <f t="shared" si="180"/>
        <v>5.0958970735728775</v>
      </c>
      <c r="N1195" s="294">
        <v>0</v>
      </c>
      <c r="O1195" s="294" t="str">
        <f t="shared" si="173"/>
        <v/>
      </c>
      <c r="P1195" s="294"/>
    </row>
    <row r="1196" spans="1:16">
      <c r="A1196" s="294"/>
      <c r="B1196" s="294" t="s">
        <v>602</v>
      </c>
      <c r="C1196" s="294" t="s">
        <v>604</v>
      </c>
      <c r="D1196" s="295" t="s">
        <v>1063</v>
      </c>
      <c r="E1196" s="296">
        <v>7</v>
      </c>
      <c r="F1196" s="294">
        <v>24.9</v>
      </c>
      <c r="G1196" s="308">
        <f t="shared" si="179"/>
        <v>16.660868049999998</v>
      </c>
      <c r="H1196" s="294">
        <v>158.5</v>
      </c>
      <c r="I1196" s="297"/>
      <c r="J1196" s="297"/>
      <c r="K1196" s="294">
        <f t="shared" si="176"/>
        <v>1.9024000000000001</v>
      </c>
      <c r="L1196" s="294">
        <f t="shared" si="177"/>
        <v>0.73467416247876316</v>
      </c>
      <c r="M1196" s="309">
        <f t="shared" si="180"/>
        <v>5.4873863842251929</v>
      </c>
      <c r="N1196" s="294">
        <v>1</v>
      </c>
      <c r="O1196" s="294">
        <f t="shared" si="173"/>
        <v>5.4873863842251929</v>
      </c>
      <c r="P1196" s="294"/>
    </row>
    <row r="1197" spans="1:16">
      <c r="A1197" s="294"/>
      <c r="B1197" s="294" t="s">
        <v>602</v>
      </c>
      <c r="C1197" s="294" t="s">
        <v>604</v>
      </c>
      <c r="D1197" s="295" t="s">
        <v>1063</v>
      </c>
      <c r="E1197" s="296">
        <v>8</v>
      </c>
      <c r="F1197" s="294">
        <v>25.5</v>
      </c>
      <c r="G1197" s="308">
        <f t="shared" si="179"/>
        <v>18.162239830000001</v>
      </c>
      <c r="H1197" s="294">
        <v>208.1</v>
      </c>
      <c r="I1197" s="297"/>
      <c r="J1197" s="297"/>
      <c r="K1197" s="294">
        <f t="shared" si="176"/>
        <v>1.8879999999999999</v>
      </c>
      <c r="L1197" s="294">
        <f t="shared" si="177"/>
        <v>0.74070040203683252</v>
      </c>
      <c r="M1197" s="309">
        <f t="shared" si="180"/>
        <v>5.9609073970443358</v>
      </c>
      <c r="N1197" s="294">
        <v>1</v>
      </c>
      <c r="O1197" s="294">
        <f t="shared" si="173"/>
        <v>5.9609073970443358</v>
      </c>
      <c r="P1197" s="294"/>
    </row>
    <row r="1198" spans="1:16">
      <c r="A1198" s="294"/>
      <c r="B1198" s="294" t="s">
        <v>602</v>
      </c>
      <c r="C1198" s="294" t="s">
        <v>604</v>
      </c>
      <c r="D1198" s="295" t="s">
        <v>1063</v>
      </c>
      <c r="E1198" s="296">
        <v>9</v>
      </c>
      <c r="F1198" s="294">
        <v>21.3</v>
      </c>
      <c r="G1198" s="308">
        <f t="shared" si="179"/>
        <v>14.598970179999998</v>
      </c>
      <c r="H1198" s="294">
        <v>168.6</v>
      </c>
      <c r="I1198" s="297"/>
      <c r="J1198" s="297"/>
      <c r="K1198" s="294">
        <f t="shared" si="176"/>
        <v>1.9887999999999999</v>
      </c>
      <c r="L1198" s="294">
        <f t="shared" si="177"/>
        <v>0.69602860950497947</v>
      </c>
      <c r="M1198" s="309">
        <f t="shared" si="180"/>
        <v>4.5798446935308679</v>
      </c>
      <c r="N1198" s="294">
        <v>0</v>
      </c>
      <c r="O1198" s="294" t="str">
        <f t="shared" si="173"/>
        <v/>
      </c>
      <c r="P1198" s="294"/>
    </row>
    <row r="1199" spans="1:16">
      <c r="A1199" s="294"/>
      <c r="B1199" s="294" t="s">
        <v>602</v>
      </c>
      <c r="C1199" s="294" t="s">
        <v>604</v>
      </c>
      <c r="D1199" s="295" t="s">
        <v>1063</v>
      </c>
      <c r="E1199" s="296">
        <v>10</v>
      </c>
      <c r="F1199" s="294">
        <v>17.100000000000001</v>
      </c>
      <c r="G1199" s="308">
        <f t="shared" si="179"/>
        <v>13.80092316</v>
      </c>
      <c r="H1199" s="294">
        <v>217.2</v>
      </c>
      <c r="I1199" s="297"/>
      <c r="J1199" s="297"/>
      <c r="K1199" s="294">
        <f t="shared" si="176"/>
        <v>2.0895999999999999</v>
      </c>
      <c r="L1199" s="294">
        <f t="shared" si="177"/>
        <v>0.64583116355221615</v>
      </c>
      <c r="M1199" s="309">
        <f t="shared" si="180"/>
        <v>4.001827330505602</v>
      </c>
      <c r="N1199" s="294">
        <v>0</v>
      </c>
      <c r="O1199" s="294" t="str">
        <f t="shared" si="173"/>
        <v/>
      </c>
      <c r="P1199" s="294"/>
    </row>
    <row r="1200" spans="1:16">
      <c r="A1200" s="294"/>
      <c r="B1200" s="294" t="s">
        <v>602</v>
      </c>
      <c r="C1200" s="294" t="s">
        <v>604</v>
      </c>
      <c r="D1200" s="295" t="s">
        <v>1063</v>
      </c>
      <c r="E1200" s="296">
        <v>11</v>
      </c>
      <c r="F1200" s="294">
        <v>14.3</v>
      </c>
      <c r="G1200" s="308">
        <f t="shared" si="179"/>
        <v>6.5128926600000003</v>
      </c>
      <c r="H1200" s="294">
        <v>86.2</v>
      </c>
      <c r="I1200" s="297"/>
      <c r="J1200" s="297"/>
      <c r="K1200" s="294">
        <f t="shared" si="176"/>
        <v>2.1568000000000001</v>
      </c>
      <c r="L1200" s="294">
        <f t="shared" si="177"/>
        <v>0.60967164273634389</v>
      </c>
      <c r="M1200" s="309">
        <f t="shared" si="180"/>
        <v>2.3411031562437676</v>
      </c>
      <c r="N1200" s="294">
        <v>0</v>
      </c>
      <c r="O1200" s="294" t="str">
        <f t="shared" si="173"/>
        <v/>
      </c>
      <c r="P1200" s="294"/>
    </row>
    <row r="1201" spans="1:16">
      <c r="A1201" s="294"/>
      <c r="B1201" s="294" t="s">
        <v>602</v>
      </c>
      <c r="C1201" s="294" t="s">
        <v>604</v>
      </c>
      <c r="D1201" s="295" t="s">
        <v>1063</v>
      </c>
      <c r="E1201" s="296">
        <v>12</v>
      </c>
      <c r="F1201" s="294">
        <v>9.5</v>
      </c>
      <c r="G1201" s="308">
        <f t="shared" si="179"/>
        <v>4.9582547899999989</v>
      </c>
      <c r="H1201" s="294">
        <v>80.3</v>
      </c>
      <c r="I1201" s="297"/>
      <c r="J1201" s="297"/>
      <c r="K1201" s="294">
        <f t="shared" si="176"/>
        <v>2.2719999999999998</v>
      </c>
      <c r="L1201" s="294">
        <f t="shared" si="177"/>
        <v>0.54385283124797501</v>
      </c>
      <c r="M1201" s="309">
        <f t="shared" si="180"/>
        <v>1.8930036181027194</v>
      </c>
      <c r="N1201" s="294">
        <v>0</v>
      </c>
      <c r="O1201" s="294" t="str">
        <f t="shared" si="173"/>
        <v/>
      </c>
      <c r="P1201" s="294"/>
    </row>
    <row r="1202" spans="1:16">
      <c r="A1202" s="294">
        <v>101</v>
      </c>
      <c r="B1202" s="294" t="s">
        <v>375</v>
      </c>
      <c r="C1202" s="294" t="s">
        <v>376</v>
      </c>
      <c r="D1202" s="295" t="s">
        <v>1063</v>
      </c>
      <c r="E1202" s="296">
        <v>1</v>
      </c>
      <c r="F1202" s="294">
        <v>5.0999999999999996</v>
      </c>
      <c r="G1202" s="294">
        <v>5.2</v>
      </c>
      <c r="H1202" s="294"/>
      <c r="I1202" s="294">
        <v>0.83499999999999996</v>
      </c>
      <c r="J1202" s="294">
        <v>0.04</v>
      </c>
      <c r="K1202" s="294">
        <f t="shared" si="176"/>
        <v>2.3776000000000002</v>
      </c>
      <c r="L1202" s="294">
        <f t="shared" si="177"/>
        <v>0.48103743439846536</v>
      </c>
      <c r="M1202" s="297">
        <f>$I$1202*L1202*(G1202/K1202)+$J$1202</f>
        <v>0.91847600107593241</v>
      </c>
      <c r="N1202" s="294">
        <v>0</v>
      </c>
      <c r="O1202" s="294" t="str">
        <f t="shared" si="173"/>
        <v/>
      </c>
      <c r="P1202" s="294">
        <f>AVERAGE(O1202:O1213)</f>
        <v>5.5552548527577024</v>
      </c>
    </row>
    <row r="1203" spans="1:16">
      <c r="A1203" s="294"/>
      <c r="B1203" s="294" t="s">
        <v>375</v>
      </c>
      <c r="C1203" s="294" t="s">
        <v>376</v>
      </c>
      <c r="D1203" s="295" t="s">
        <v>1063</v>
      </c>
      <c r="E1203" s="296">
        <v>2</v>
      </c>
      <c r="F1203" s="294">
        <v>5.4</v>
      </c>
      <c r="G1203" s="294">
        <v>8.1</v>
      </c>
      <c r="H1203" s="294"/>
      <c r="I1203" s="294"/>
      <c r="J1203" s="294"/>
      <c r="K1203" s="294">
        <f t="shared" si="176"/>
        <v>2.3704000000000001</v>
      </c>
      <c r="L1203" s="294">
        <f t="shared" si="177"/>
        <v>0.48535075735081867</v>
      </c>
      <c r="M1203" s="297">
        <f t="shared" ref="M1203:M1213" si="181">$I$1202*L1203*(G1203/K1203)+$J$1202</f>
        <v>1.4248590311096279</v>
      </c>
      <c r="N1203" s="294">
        <v>0</v>
      </c>
      <c r="O1203" s="294" t="str">
        <f t="shared" si="173"/>
        <v/>
      </c>
      <c r="P1203" s="294"/>
    </row>
    <row r="1204" spans="1:16">
      <c r="A1204" s="294"/>
      <c r="B1204" s="294" t="s">
        <v>375</v>
      </c>
      <c r="C1204" s="294" t="s">
        <v>376</v>
      </c>
      <c r="D1204" s="295" t="s">
        <v>1063</v>
      </c>
      <c r="E1204" s="296">
        <v>3</v>
      </c>
      <c r="F1204" s="294">
        <v>8.3000000000000007</v>
      </c>
      <c r="G1204" s="294">
        <v>13.3</v>
      </c>
      <c r="H1204" s="294"/>
      <c r="I1204" s="294"/>
      <c r="J1204" s="294"/>
      <c r="K1204" s="294">
        <f t="shared" si="176"/>
        <v>2.3008000000000002</v>
      </c>
      <c r="L1204" s="294">
        <f t="shared" si="177"/>
        <v>0.52686406241145922</v>
      </c>
      <c r="M1204" s="297">
        <f t="shared" si="181"/>
        <v>2.5830671266996088</v>
      </c>
      <c r="N1204" s="294">
        <v>0</v>
      </c>
      <c r="O1204" s="294" t="str">
        <f t="shared" si="173"/>
        <v/>
      </c>
      <c r="P1204" s="294"/>
    </row>
    <row r="1205" spans="1:16">
      <c r="A1205" s="294"/>
      <c r="B1205" s="294" t="s">
        <v>375</v>
      </c>
      <c r="C1205" s="294" t="s">
        <v>376</v>
      </c>
      <c r="D1205" s="295" t="s">
        <v>1063</v>
      </c>
      <c r="E1205" s="296">
        <v>4</v>
      </c>
      <c r="F1205" s="294">
        <v>13.8</v>
      </c>
      <c r="G1205" s="294">
        <v>16</v>
      </c>
      <c r="H1205" s="294"/>
      <c r="I1205" s="294"/>
      <c r="J1205" s="294"/>
      <c r="K1205" s="294">
        <f t="shared" si="176"/>
        <v>2.1688000000000001</v>
      </c>
      <c r="L1205" s="294">
        <f t="shared" si="177"/>
        <v>0.60301849560891085</v>
      </c>
      <c r="M1205" s="297">
        <f t="shared" si="181"/>
        <v>3.7546473171039509</v>
      </c>
      <c r="N1205" s="294">
        <v>0</v>
      </c>
      <c r="O1205" s="294" t="str">
        <f t="shared" si="173"/>
        <v/>
      </c>
      <c r="P1205" s="294"/>
    </row>
    <row r="1206" spans="1:16">
      <c r="A1206" s="294"/>
      <c r="B1206" s="294" t="s">
        <v>375</v>
      </c>
      <c r="C1206" s="294" t="s">
        <v>376</v>
      </c>
      <c r="D1206" s="295" t="s">
        <v>1063</v>
      </c>
      <c r="E1206" s="296">
        <v>5</v>
      </c>
      <c r="F1206" s="294">
        <v>19.399999999999999</v>
      </c>
      <c r="G1206" s="294">
        <v>21.3</v>
      </c>
      <c r="H1206" s="294"/>
      <c r="I1206" s="294"/>
      <c r="J1206" s="294"/>
      <c r="K1206" s="294">
        <f t="shared" si="176"/>
        <v>2.0344000000000002</v>
      </c>
      <c r="L1206" s="294">
        <f t="shared" si="177"/>
        <v>0.67396814722434939</v>
      </c>
      <c r="M1206" s="297">
        <f t="shared" si="181"/>
        <v>5.9320863559077202</v>
      </c>
      <c r="N1206" s="294">
        <v>0</v>
      </c>
      <c r="O1206" s="294" t="str">
        <f t="shared" si="173"/>
        <v/>
      </c>
      <c r="P1206" s="294"/>
    </row>
    <row r="1207" spans="1:16">
      <c r="A1207" s="294"/>
      <c r="B1207" s="294" t="s">
        <v>375</v>
      </c>
      <c r="C1207" s="294" t="s">
        <v>376</v>
      </c>
      <c r="D1207" s="295" t="s">
        <v>1063</v>
      </c>
      <c r="E1207" s="296">
        <v>6</v>
      </c>
      <c r="F1207" s="294">
        <v>21.5</v>
      </c>
      <c r="G1207" s="294">
        <v>16.399999999999999</v>
      </c>
      <c r="H1207" s="294"/>
      <c r="I1207" s="294"/>
      <c r="J1207" s="294"/>
      <c r="K1207" s="294">
        <f t="shared" si="176"/>
        <v>1.984</v>
      </c>
      <c r="L1207" s="294">
        <f t="shared" si="177"/>
        <v>0.69828547686607079</v>
      </c>
      <c r="M1207" s="297">
        <f t="shared" si="181"/>
        <v>4.859718407360873</v>
      </c>
      <c r="N1207" s="294">
        <v>0</v>
      </c>
      <c r="O1207" s="294" t="str">
        <f t="shared" si="173"/>
        <v/>
      </c>
      <c r="P1207" s="294"/>
    </row>
    <row r="1208" spans="1:16">
      <c r="A1208" s="294"/>
      <c r="B1208" s="294" t="s">
        <v>375</v>
      </c>
      <c r="C1208" s="294" t="s">
        <v>376</v>
      </c>
      <c r="D1208" s="295" t="s">
        <v>1063</v>
      </c>
      <c r="E1208" s="296">
        <v>7</v>
      </c>
      <c r="F1208" s="294">
        <v>25.5</v>
      </c>
      <c r="G1208" s="294">
        <v>16.100000000000001</v>
      </c>
      <c r="H1208" s="294"/>
      <c r="I1208" s="294"/>
      <c r="J1208" s="294"/>
      <c r="K1208" s="294">
        <f t="shared" si="176"/>
        <v>1.8879999999999999</v>
      </c>
      <c r="L1208" s="294">
        <f t="shared" si="177"/>
        <v>0.74070040203683252</v>
      </c>
      <c r="M1208" s="297">
        <f t="shared" si="181"/>
        <v>5.3141556434227528</v>
      </c>
      <c r="N1208" s="294">
        <v>1</v>
      </c>
      <c r="O1208" s="294">
        <f t="shared" si="173"/>
        <v>5.3141556434227528</v>
      </c>
      <c r="P1208" s="294"/>
    </row>
    <row r="1209" spans="1:16">
      <c r="A1209" s="294"/>
      <c r="B1209" s="294" t="s">
        <v>375</v>
      </c>
      <c r="C1209" s="294" t="s">
        <v>376</v>
      </c>
      <c r="D1209" s="295" t="s">
        <v>1063</v>
      </c>
      <c r="E1209" s="296">
        <v>8</v>
      </c>
      <c r="F1209" s="294">
        <v>26.1</v>
      </c>
      <c r="G1209" s="294">
        <v>17.3</v>
      </c>
      <c r="H1209" s="294"/>
      <c r="I1209" s="294"/>
      <c r="J1209" s="294"/>
      <c r="K1209" s="294">
        <f t="shared" si="176"/>
        <v>1.8735999999999999</v>
      </c>
      <c r="L1209" s="294">
        <f t="shared" si="177"/>
        <v>0.74660655364901107</v>
      </c>
      <c r="M1209" s="297">
        <f t="shared" si="181"/>
        <v>5.796354062092651</v>
      </c>
      <c r="N1209" s="294">
        <v>1</v>
      </c>
      <c r="O1209" s="294">
        <f t="shared" si="173"/>
        <v>5.796354062092651</v>
      </c>
      <c r="P1209" s="294"/>
    </row>
    <row r="1210" spans="1:16">
      <c r="A1210" s="294"/>
      <c r="B1210" s="294" t="s">
        <v>375</v>
      </c>
      <c r="C1210" s="294" t="s">
        <v>376</v>
      </c>
      <c r="D1210" s="295" t="s">
        <v>1063</v>
      </c>
      <c r="E1210" s="296">
        <v>9</v>
      </c>
      <c r="F1210" s="294">
        <v>21.4</v>
      </c>
      <c r="G1210" s="294">
        <v>13.8</v>
      </c>
      <c r="H1210" s="294"/>
      <c r="I1210" s="294"/>
      <c r="J1210" s="294"/>
      <c r="K1210" s="294">
        <f t="shared" si="176"/>
        <v>1.9864000000000002</v>
      </c>
      <c r="L1210" s="294">
        <f t="shared" si="177"/>
        <v>0.69715862454510524</v>
      </c>
      <c r="M1210" s="297">
        <f t="shared" si="181"/>
        <v>4.084179838216496</v>
      </c>
      <c r="N1210" s="294">
        <v>0</v>
      </c>
      <c r="O1210" s="294" t="str">
        <f t="shared" si="173"/>
        <v/>
      </c>
      <c r="P1210" s="294"/>
    </row>
    <row r="1211" spans="1:16">
      <c r="A1211" s="294"/>
      <c r="B1211" s="294" t="s">
        <v>375</v>
      </c>
      <c r="C1211" s="294" t="s">
        <v>376</v>
      </c>
      <c r="D1211" s="295" t="s">
        <v>1063</v>
      </c>
      <c r="E1211" s="296">
        <v>10</v>
      </c>
      <c r="F1211" s="294">
        <v>16.8</v>
      </c>
      <c r="G1211" s="294">
        <v>13.2</v>
      </c>
      <c r="H1211" s="294"/>
      <c r="I1211" s="294"/>
      <c r="J1211" s="294"/>
      <c r="K1211" s="294">
        <f t="shared" si="176"/>
        <v>2.0968</v>
      </c>
      <c r="L1211" s="294">
        <f t="shared" si="177"/>
        <v>0.64205231419896891</v>
      </c>
      <c r="M1211" s="297">
        <f t="shared" si="181"/>
        <v>3.41500028953693</v>
      </c>
      <c r="N1211" s="294">
        <v>0</v>
      </c>
      <c r="O1211" s="294" t="str">
        <f t="shared" si="173"/>
        <v/>
      </c>
      <c r="P1211" s="294"/>
    </row>
    <row r="1212" spans="1:16">
      <c r="A1212" s="294"/>
      <c r="B1212" s="294" t="s">
        <v>375</v>
      </c>
      <c r="C1212" s="294" t="s">
        <v>376</v>
      </c>
      <c r="D1212" s="295" t="s">
        <v>1063</v>
      </c>
      <c r="E1212" s="296">
        <v>11</v>
      </c>
      <c r="F1212" s="294">
        <v>13.3</v>
      </c>
      <c r="G1212" s="294">
        <v>6.2</v>
      </c>
      <c r="H1212" s="294"/>
      <c r="I1212" s="294"/>
      <c r="J1212" s="294"/>
      <c r="K1212" s="294">
        <f t="shared" si="176"/>
        <v>2.1808000000000001</v>
      </c>
      <c r="L1212" s="294">
        <f t="shared" si="177"/>
        <v>0.59631162235041102</v>
      </c>
      <c r="M1212" s="297">
        <f t="shared" si="181"/>
        <v>1.4555838540480914</v>
      </c>
      <c r="N1212" s="294">
        <v>0</v>
      </c>
      <c r="O1212" s="294" t="str">
        <f t="shared" si="173"/>
        <v/>
      </c>
      <c r="P1212" s="294"/>
    </row>
    <row r="1213" spans="1:16">
      <c r="A1213" s="294"/>
      <c r="B1213" s="294" t="s">
        <v>375</v>
      </c>
      <c r="C1213" s="294" t="s">
        <v>376</v>
      </c>
      <c r="D1213" s="295" t="s">
        <v>1063</v>
      </c>
      <c r="E1213" s="296">
        <v>12</v>
      </c>
      <c r="F1213" s="294">
        <v>8.1999999999999993</v>
      </c>
      <c r="G1213" s="294">
        <v>5.2</v>
      </c>
      <c r="H1213" s="294"/>
      <c r="I1213" s="294"/>
      <c r="J1213" s="294"/>
      <c r="K1213" s="294">
        <f t="shared" si="176"/>
        <v>2.3031999999999999</v>
      </c>
      <c r="L1213" s="294">
        <f t="shared" si="177"/>
        <v>0.52544179948777858</v>
      </c>
      <c r="M1213" s="297">
        <f t="shared" si="181"/>
        <v>1.0305645594720105</v>
      </c>
      <c r="N1213" s="294">
        <v>0</v>
      </c>
      <c r="O1213" s="294" t="str">
        <f t="shared" si="173"/>
        <v/>
      </c>
      <c r="P1213" s="294"/>
    </row>
    <row r="1214" spans="1:16">
      <c r="A1214" s="294">
        <v>102</v>
      </c>
      <c r="B1214" s="294" t="s">
        <v>380</v>
      </c>
      <c r="C1214" s="294" t="s">
        <v>1064</v>
      </c>
      <c r="D1214" s="295" t="s">
        <v>1063</v>
      </c>
      <c r="E1214" s="296">
        <v>1</v>
      </c>
      <c r="F1214" s="294">
        <v>5.5</v>
      </c>
      <c r="G1214" s="308">
        <f t="shared" ref="G1214:G1237" si="182">$T$11+$T$12*H1214+INDEX($T$13:$T$24,MATCH(E1214,$S$13:$S$24,0),1)</f>
        <v>1.9996768000000005</v>
      </c>
      <c r="H1214" s="308"/>
      <c r="I1214" s="306">
        <v>0.91800000000000004</v>
      </c>
      <c r="J1214" s="307">
        <v>0.18</v>
      </c>
      <c r="K1214" s="294">
        <f t="shared" si="176"/>
        <v>2.3679999999999999</v>
      </c>
      <c r="L1214" s="294">
        <f t="shared" si="177"/>
        <v>0.48678823254741066</v>
      </c>
      <c r="M1214" s="309">
        <f>$I$1214*L1214*(G1214/K1214)+$J$1214</f>
        <v>0.55736434377396171</v>
      </c>
      <c r="N1214" s="294">
        <v>0</v>
      </c>
      <c r="O1214" s="294" t="str">
        <f t="shared" si="173"/>
        <v/>
      </c>
      <c r="P1214" s="294">
        <f>AVERAGE(O1214:O1225)</f>
        <v>3.5642771696976965</v>
      </c>
    </row>
    <row r="1215" spans="1:16">
      <c r="A1215" s="294"/>
      <c r="B1215" s="294" t="s">
        <v>380</v>
      </c>
      <c r="C1215" s="294" t="s">
        <v>1064</v>
      </c>
      <c r="D1215" s="295" t="s">
        <v>1063</v>
      </c>
      <c r="E1215" s="296">
        <v>2</v>
      </c>
      <c r="F1215" s="294">
        <v>6.1</v>
      </c>
      <c r="G1215" s="308">
        <f t="shared" si="182"/>
        <v>4.4199175999999998</v>
      </c>
      <c r="H1215" s="308"/>
      <c r="I1215" s="294"/>
      <c r="J1215" s="294"/>
      <c r="K1215" s="294">
        <f t="shared" si="176"/>
        <v>2.3536000000000001</v>
      </c>
      <c r="L1215" s="294">
        <f t="shared" si="177"/>
        <v>0.49540811078051672</v>
      </c>
      <c r="M1215" s="309">
        <f t="shared" ref="M1215:M1225" si="183">$I$1214*L1215*(G1215/K1215)+$J$1214</f>
        <v>1.0340578941722416</v>
      </c>
      <c r="N1215" s="294">
        <v>0</v>
      </c>
      <c r="O1215" s="294" t="str">
        <f t="shared" si="173"/>
        <v/>
      </c>
      <c r="P1215" s="294"/>
    </row>
    <row r="1216" spans="1:16">
      <c r="A1216" s="294"/>
      <c r="B1216" s="294" t="s">
        <v>380</v>
      </c>
      <c r="C1216" s="294" t="s">
        <v>1064</v>
      </c>
      <c r="D1216" s="295" t="s">
        <v>1063</v>
      </c>
      <c r="E1216" s="296">
        <v>3</v>
      </c>
      <c r="F1216" s="294">
        <v>9</v>
      </c>
      <c r="G1216" s="308">
        <f t="shared" si="182"/>
        <v>6.0525017000000005</v>
      </c>
      <c r="H1216" s="308"/>
      <c r="I1216" s="294"/>
      <c r="J1216" s="294"/>
      <c r="K1216" s="294">
        <f t="shared" si="176"/>
        <v>2.2839999999999998</v>
      </c>
      <c r="L1216" s="294">
        <f t="shared" si="177"/>
        <v>0.53679291860732048</v>
      </c>
      <c r="M1216" s="309">
        <f t="shared" si="183"/>
        <v>1.4858349247462479</v>
      </c>
      <c r="N1216" s="294">
        <v>0</v>
      </c>
      <c r="O1216" s="294" t="str">
        <f t="shared" si="173"/>
        <v/>
      </c>
      <c r="P1216" s="294"/>
    </row>
    <row r="1217" spans="1:16">
      <c r="A1217" s="294"/>
      <c r="B1217" s="294" t="s">
        <v>380</v>
      </c>
      <c r="C1217" s="294" t="s">
        <v>1064</v>
      </c>
      <c r="D1217" s="295" t="s">
        <v>1063</v>
      </c>
      <c r="E1217" s="296">
        <v>4</v>
      </c>
      <c r="F1217" s="294">
        <v>15.2</v>
      </c>
      <c r="G1217" s="308">
        <f t="shared" si="182"/>
        <v>7.969462</v>
      </c>
      <c r="H1217" s="308"/>
      <c r="I1217" s="294"/>
      <c r="J1217" s="294"/>
      <c r="K1217" s="294">
        <f t="shared" si="176"/>
        <v>2.1352000000000002</v>
      </c>
      <c r="L1217" s="294">
        <f t="shared" si="177"/>
        <v>0.62150446245737101</v>
      </c>
      <c r="M1217" s="309">
        <f t="shared" si="183"/>
        <v>2.3094986831589175</v>
      </c>
      <c r="N1217" s="294">
        <v>0</v>
      </c>
      <c r="O1217" s="294" t="str">
        <f t="shared" si="173"/>
        <v/>
      </c>
      <c r="P1217" s="294"/>
    </row>
    <row r="1218" spans="1:16">
      <c r="A1218" s="294"/>
      <c r="B1218" s="294" t="s">
        <v>380</v>
      </c>
      <c r="C1218" s="294" t="s">
        <v>1064</v>
      </c>
      <c r="D1218" s="295" t="s">
        <v>1063</v>
      </c>
      <c r="E1218" s="296">
        <v>5</v>
      </c>
      <c r="F1218" s="294">
        <v>20.7</v>
      </c>
      <c r="G1218" s="308">
        <f t="shared" si="182"/>
        <v>9.763087800000001</v>
      </c>
      <c r="H1218" s="308"/>
      <c r="I1218" s="294"/>
      <c r="J1218" s="294"/>
      <c r="K1218" s="294">
        <f t="shared" si="176"/>
        <v>2.0032000000000001</v>
      </c>
      <c r="L1218" s="294">
        <f t="shared" si="177"/>
        <v>0.68918252559756299</v>
      </c>
      <c r="M1218" s="309">
        <f t="shared" si="183"/>
        <v>3.2634706709308636</v>
      </c>
      <c r="N1218" s="294">
        <v>0</v>
      </c>
      <c r="O1218" s="294" t="str">
        <f t="shared" ref="O1218:O1281" si="184">IF(N1218*M1218=0,"",N1218*M1218)</f>
        <v/>
      </c>
      <c r="P1218" s="294"/>
    </row>
    <row r="1219" spans="1:16">
      <c r="A1219" s="294"/>
      <c r="B1219" s="294" t="s">
        <v>380</v>
      </c>
      <c r="C1219" s="294" t="s">
        <v>1064</v>
      </c>
      <c r="D1219" s="295" t="s">
        <v>1063</v>
      </c>
      <c r="E1219" s="296">
        <v>6</v>
      </c>
      <c r="F1219" s="294">
        <v>22.2</v>
      </c>
      <c r="G1219" s="308">
        <f t="shared" si="182"/>
        <v>9.8467880000000001</v>
      </c>
      <c r="H1219" s="308"/>
      <c r="I1219" s="294"/>
      <c r="J1219" s="294"/>
      <c r="K1219" s="294">
        <f t="shared" si="176"/>
        <v>1.9672000000000001</v>
      </c>
      <c r="L1219" s="294">
        <f t="shared" si="177"/>
        <v>0.70608430100171982</v>
      </c>
      <c r="M1219" s="309">
        <f t="shared" si="183"/>
        <v>3.4244815491462841</v>
      </c>
      <c r="N1219" s="294">
        <v>0</v>
      </c>
      <c r="O1219" s="294" t="str">
        <f t="shared" si="184"/>
        <v/>
      </c>
      <c r="P1219" s="294"/>
    </row>
    <row r="1220" spans="1:16">
      <c r="A1220" s="294"/>
      <c r="B1220" s="294" t="s">
        <v>380</v>
      </c>
      <c r="C1220" s="294" t="s">
        <v>1064</v>
      </c>
      <c r="D1220" s="295" t="s">
        <v>1063</v>
      </c>
      <c r="E1220" s="296">
        <v>7</v>
      </c>
      <c r="F1220" s="294">
        <v>26.4</v>
      </c>
      <c r="G1220" s="308">
        <f t="shared" si="182"/>
        <v>9.446059</v>
      </c>
      <c r="H1220" s="308"/>
      <c r="I1220" s="294"/>
      <c r="J1220" s="294"/>
      <c r="K1220" s="294">
        <f t="shared" si="176"/>
        <v>1.8664000000000001</v>
      </c>
      <c r="L1220" s="294">
        <f t="shared" si="177"/>
        <v>0.74951452498067139</v>
      </c>
      <c r="M1220" s="309">
        <f t="shared" si="183"/>
        <v>3.6623198850888317</v>
      </c>
      <c r="N1220" s="294">
        <v>1</v>
      </c>
      <c r="O1220" s="294">
        <f t="shared" si="184"/>
        <v>3.6623198850888317</v>
      </c>
      <c r="P1220" s="294"/>
    </row>
    <row r="1221" spans="1:16">
      <c r="A1221" s="294"/>
      <c r="B1221" s="294" t="s">
        <v>380</v>
      </c>
      <c r="C1221" s="294" t="s">
        <v>1064</v>
      </c>
      <c r="D1221" s="295" t="s">
        <v>1063</v>
      </c>
      <c r="E1221" s="296">
        <v>8</v>
      </c>
      <c r="F1221" s="294">
        <v>27.4</v>
      </c>
      <c r="G1221" s="308">
        <f t="shared" si="182"/>
        <v>8.6896734999999996</v>
      </c>
      <c r="H1221" s="308"/>
      <c r="I1221" s="294"/>
      <c r="J1221" s="294"/>
      <c r="K1221" s="294">
        <f t="shared" si="176"/>
        <v>1.8424</v>
      </c>
      <c r="L1221" s="294">
        <f t="shared" si="177"/>
        <v>0.75899048170392402</v>
      </c>
      <c r="M1221" s="309">
        <f t="shared" si="183"/>
        <v>3.4662344543065609</v>
      </c>
      <c r="N1221" s="294">
        <v>1</v>
      </c>
      <c r="O1221" s="294">
        <f t="shared" si="184"/>
        <v>3.4662344543065609</v>
      </c>
      <c r="P1221" s="294"/>
    </row>
    <row r="1222" spans="1:16">
      <c r="A1222" s="294"/>
      <c r="B1222" s="294" t="s">
        <v>380</v>
      </c>
      <c r="C1222" s="294" t="s">
        <v>1064</v>
      </c>
      <c r="D1222" s="295" t="s">
        <v>1063</v>
      </c>
      <c r="E1222" s="296">
        <v>9</v>
      </c>
      <c r="F1222" s="294">
        <v>22.2</v>
      </c>
      <c r="G1222" s="308">
        <f t="shared" si="182"/>
        <v>6.9244161999999996</v>
      </c>
      <c r="H1222" s="308"/>
      <c r="I1222" s="294"/>
      <c r="J1222" s="294"/>
      <c r="K1222" s="294">
        <f t="shared" si="176"/>
        <v>1.9672000000000001</v>
      </c>
      <c r="L1222" s="294">
        <f t="shared" si="177"/>
        <v>0.70608430100171982</v>
      </c>
      <c r="M1222" s="309">
        <f t="shared" si="183"/>
        <v>2.4615704572404344</v>
      </c>
      <c r="N1222" s="294">
        <v>0</v>
      </c>
      <c r="O1222" s="294" t="str">
        <f t="shared" si="184"/>
        <v/>
      </c>
      <c r="P1222" s="294"/>
    </row>
    <row r="1223" spans="1:16">
      <c r="A1223" s="294"/>
      <c r="B1223" s="294" t="s">
        <v>380</v>
      </c>
      <c r="C1223" s="294" t="s">
        <v>1064</v>
      </c>
      <c r="D1223" s="295" t="s">
        <v>1063</v>
      </c>
      <c r="E1223" s="296">
        <v>10</v>
      </c>
      <c r="F1223" s="294">
        <v>17.100000000000001</v>
      </c>
      <c r="G1223" s="308">
        <f t="shared" si="182"/>
        <v>3.9141311999999999</v>
      </c>
      <c r="H1223" s="308"/>
      <c r="I1223" s="294"/>
      <c r="J1223" s="294"/>
      <c r="K1223" s="294">
        <f t="shared" si="176"/>
        <v>2.0895999999999999</v>
      </c>
      <c r="L1223" s="294">
        <f t="shared" si="177"/>
        <v>0.64583116355221615</v>
      </c>
      <c r="M1223" s="309">
        <f t="shared" si="183"/>
        <v>1.2905392126733755</v>
      </c>
      <c r="N1223" s="294">
        <v>0</v>
      </c>
      <c r="O1223" s="294" t="str">
        <f t="shared" si="184"/>
        <v/>
      </c>
      <c r="P1223" s="294"/>
    </row>
    <row r="1224" spans="1:16">
      <c r="A1224" s="294"/>
      <c r="B1224" s="294" t="s">
        <v>380</v>
      </c>
      <c r="C1224" s="294" t="s">
        <v>1064</v>
      </c>
      <c r="D1224" s="295" t="s">
        <v>1063</v>
      </c>
      <c r="E1224" s="296">
        <v>11</v>
      </c>
      <c r="F1224" s="294">
        <v>13.8</v>
      </c>
      <c r="G1224" s="308">
        <f t="shared" si="182"/>
        <v>2.5891289999999998</v>
      </c>
      <c r="H1224" s="308"/>
      <c r="I1224" s="294"/>
      <c r="J1224" s="294"/>
      <c r="K1224" s="294">
        <f t="shared" si="176"/>
        <v>2.1688000000000001</v>
      </c>
      <c r="L1224" s="294">
        <f t="shared" si="177"/>
        <v>0.60301849560891085</v>
      </c>
      <c r="M1224" s="309">
        <f t="shared" si="183"/>
        <v>0.84085700627396553</v>
      </c>
      <c r="N1224" s="294">
        <v>0</v>
      </c>
      <c r="O1224" s="294" t="str">
        <f t="shared" si="184"/>
        <v/>
      </c>
      <c r="P1224" s="294"/>
    </row>
    <row r="1225" spans="1:16">
      <c r="A1225" s="294"/>
      <c r="B1225" s="294" t="s">
        <v>380</v>
      </c>
      <c r="C1225" s="294" t="s">
        <v>1064</v>
      </c>
      <c r="D1225" s="295" t="s">
        <v>1063</v>
      </c>
      <c r="E1225" s="296">
        <v>12</v>
      </c>
      <c r="F1225" s="294">
        <v>8.4</v>
      </c>
      <c r="G1225" s="308">
        <f t="shared" si="182"/>
        <v>1.3030549999999996</v>
      </c>
      <c r="H1225" s="308"/>
      <c r="I1225" s="294"/>
      <c r="J1225" s="294"/>
      <c r="K1225" s="294">
        <f t="shared" si="176"/>
        <v>2.2984</v>
      </c>
      <c r="L1225" s="294">
        <f t="shared" si="177"/>
        <v>0.52828541148097485</v>
      </c>
      <c r="M1225" s="309">
        <f t="shared" si="183"/>
        <v>0.45494665037201509</v>
      </c>
      <c r="N1225" s="294">
        <v>0</v>
      </c>
      <c r="O1225" s="294" t="str">
        <f t="shared" si="184"/>
        <v/>
      </c>
      <c r="P1225" s="294"/>
    </row>
    <row r="1226" spans="1:16">
      <c r="A1226" s="294">
        <v>103</v>
      </c>
      <c r="B1226" s="294" t="s">
        <v>380</v>
      </c>
      <c r="C1226" s="294" t="s">
        <v>379</v>
      </c>
      <c r="D1226" s="295" t="s">
        <v>1063</v>
      </c>
      <c r="E1226" s="296">
        <v>1</v>
      </c>
      <c r="F1226" s="294">
        <v>3</v>
      </c>
      <c r="G1226" s="308">
        <f t="shared" si="182"/>
        <v>5.8506095799999995</v>
      </c>
      <c r="H1226" s="294">
        <v>84.6</v>
      </c>
      <c r="I1226" s="306">
        <v>0.83499999999999996</v>
      </c>
      <c r="J1226" s="307">
        <v>-0.14000000000000001</v>
      </c>
      <c r="K1226" s="294">
        <f t="shared" si="176"/>
        <v>2.4279999999999999</v>
      </c>
      <c r="L1226" s="294">
        <f t="shared" si="177"/>
        <v>0.45086152981994149</v>
      </c>
      <c r="M1226" s="309">
        <f>$I$1226*L1226*(G1226/K1226)+$J$1226</f>
        <v>0.76715623805232058</v>
      </c>
      <c r="N1226" s="294">
        <v>0</v>
      </c>
      <c r="O1226" s="294" t="str">
        <f t="shared" si="184"/>
        <v/>
      </c>
      <c r="P1226" s="294">
        <f>AVERAGE(O1226:O1237)</f>
        <v>5.1612717569723481</v>
      </c>
    </row>
    <row r="1227" spans="1:16">
      <c r="A1227" s="294"/>
      <c r="B1227" s="294" t="s">
        <v>380</v>
      </c>
      <c r="C1227" s="294" t="s">
        <v>379</v>
      </c>
      <c r="D1227" s="295" t="s">
        <v>1063</v>
      </c>
      <c r="E1227" s="296">
        <v>2</v>
      </c>
      <c r="F1227" s="294">
        <v>3.8</v>
      </c>
      <c r="G1227" s="308">
        <f t="shared" si="182"/>
        <v>9.6182216599999997</v>
      </c>
      <c r="H1227" s="294">
        <v>114.2</v>
      </c>
      <c r="I1227" s="297"/>
      <c r="J1227" s="297"/>
      <c r="K1227" s="294">
        <f t="shared" si="176"/>
        <v>2.4087999999999998</v>
      </c>
      <c r="L1227" s="294">
        <f t="shared" si="177"/>
        <v>0.46234626619550639</v>
      </c>
      <c r="M1227" s="309">
        <f t="shared" ref="M1227:M1237" si="185">$I$1226*L1227*(G1227/K1227)+$J$1226</f>
        <v>1.4015154052106267</v>
      </c>
      <c r="N1227" s="294">
        <v>0</v>
      </c>
      <c r="O1227" s="294" t="str">
        <f t="shared" si="184"/>
        <v/>
      </c>
      <c r="P1227" s="294"/>
    </row>
    <row r="1228" spans="1:16">
      <c r="A1228" s="294"/>
      <c r="B1228" s="294" t="s">
        <v>380</v>
      </c>
      <c r="C1228" s="294" t="s">
        <v>379</v>
      </c>
      <c r="D1228" s="295" t="s">
        <v>1063</v>
      </c>
      <c r="E1228" s="296">
        <v>3</v>
      </c>
      <c r="F1228" s="294">
        <v>7</v>
      </c>
      <c r="G1228" s="308">
        <f t="shared" si="182"/>
        <v>14.341566229999998</v>
      </c>
      <c r="H1228" s="294">
        <v>182.1</v>
      </c>
      <c r="I1228" s="297"/>
      <c r="J1228" s="297"/>
      <c r="K1228" s="294">
        <f t="shared" si="176"/>
        <v>2.3319999999999999</v>
      </c>
      <c r="L1228" s="294">
        <f t="shared" si="177"/>
        <v>0.50831255550801102</v>
      </c>
      <c r="M1228" s="309">
        <f t="shared" si="185"/>
        <v>2.4702695028299768</v>
      </c>
      <c r="N1228" s="294">
        <v>0</v>
      </c>
      <c r="O1228" s="294" t="str">
        <f t="shared" si="184"/>
        <v/>
      </c>
      <c r="P1228" s="294"/>
    </row>
    <row r="1229" spans="1:16">
      <c r="A1229" s="294"/>
      <c r="B1229" s="294" t="s">
        <v>380</v>
      </c>
      <c r="C1229" s="294" t="s">
        <v>379</v>
      </c>
      <c r="D1229" s="295" t="s">
        <v>1063</v>
      </c>
      <c r="E1229" s="296">
        <v>4</v>
      </c>
      <c r="F1229" s="294">
        <v>13.6</v>
      </c>
      <c r="G1229" s="308">
        <f t="shared" si="182"/>
        <v>15.393659830000001</v>
      </c>
      <c r="H1229" s="294">
        <v>163.1</v>
      </c>
      <c r="I1229" s="297"/>
      <c r="J1229" s="297"/>
      <c r="K1229" s="294">
        <f t="shared" si="176"/>
        <v>2.1736</v>
      </c>
      <c r="L1229" s="294">
        <f t="shared" si="177"/>
        <v>0.60034205866642909</v>
      </c>
      <c r="M1229" s="309">
        <f t="shared" si="185"/>
        <v>3.4101565588648701</v>
      </c>
      <c r="N1229" s="294">
        <v>0</v>
      </c>
      <c r="O1229" s="294" t="str">
        <f t="shared" si="184"/>
        <v/>
      </c>
      <c r="P1229" s="294"/>
    </row>
    <row r="1230" spans="1:16">
      <c r="A1230" s="294"/>
      <c r="B1230" s="294" t="s">
        <v>380</v>
      </c>
      <c r="C1230" s="294" t="s">
        <v>379</v>
      </c>
      <c r="D1230" s="295" t="s">
        <v>1063</v>
      </c>
      <c r="E1230" s="296">
        <v>5</v>
      </c>
      <c r="F1230" s="294">
        <v>18.899999999999999</v>
      </c>
      <c r="G1230" s="308">
        <f t="shared" si="182"/>
        <v>20.382740490000003</v>
      </c>
      <c r="H1230" s="294">
        <v>233.3</v>
      </c>
      <c r="I1230" s="297"/>
      <c r="J1230" s="297"/>
      <c r="K1230" s="294">
        <f t="shared" si="176"/>
        <v>2.0464000000000002</v>
      </c>
      <c r="L1230" s="294">
        <f t="shared" si="177"/>
        <v>0.66798094574788913</v>
      </c>
      <c r="M1230" s="309">
        <f t="shared" si="185"/>
        <v>5.4154929119359538</v>
      </c>
      <c r="N1230" s="294">
        <v>0</v>
      </c>
      <c r="O1230" s="294" t="str">
        <f t="shared" si="184"/>
        <v/>
      </c>
      <c r="P1230" s="294"/>
    </row>
    <row r="1231" spans="1:16">
      <c r="A1231" s="294"/>
      <c r="B1231" s="294" t="s">
        <v>380</v>
      </c>
      <c r="C1231" s="294" t="s">
        <v>379</v>
      </c>
      <c r="D1231" s="295" t="s">
        <v>1063</v>
      </c>
      <c r="E1231" s="296">
        <v>6</v>
      </c>
      <c r="F1231" s="294">
        <v>20.6</v>
      </c>
      <c r="G1231" s="308">
        <f t="shared" si="182"/>
        <v>16.11024368</v>
      </c>
      <c r="H1231" s="294">
        <v>137.6</v>
      </c>
      <c r="I1231" s="297"/>
      <c r="J1231" s="297"/>
      <c r="K1231" s="294">
        <f t="shared" si="176"/>
        <v>2.0055999999999998</v>
      </c>
      <c r="L1231" s="294">
        <f t="shared" si="177"/>
        <v>0.68803058654568494</v>
      </c>
      <c r="M1231" s="309">
        <f t="shared" si="185"/>
        <v>4.4747907065888031</v>
      </c>
      <c r="N1231" s="294">
        <v>0</v>
      </c>
      <c r="O1231" s="294" t="str">
        <f t="shared" si="184"/>
        <v/>
      </c>
      <c r="P1231" s="294"/>
    </row>
    <row r="1232" spans="1:16">
      <c r="A1232" s="294"/>
      <c r="B1232" s="294" t="s">
        <v>380</v>
      </c>
      <c r="C1232" s="294" t="s">
        <v>379</v>
      </c>
      <c r="D1232" s="295" t="s">
        <v>1063</v>
      </c>
      <c r="E1232" s="296">
        <v>7</v>
      </c>
      <c r="F1232" s="294">
        <v>25.2</v>
      </c>
      <c r="G1232" s="308">
        <f t="shared" si="182"/>
        <v>14.676226569999999</v>
      </c>
      <c r="H1232" s="294">
        <v>114.9</v>
      </c>
      <c r="I1232" s="297"/>
      <c r="J1232" s="297"/>
      <c r="K1232" s="294">
        <f t="shared" si="176"/>
        <v>1.8952</v>
      </c>
      <c r="L1232" s="294">
        <f t="shared" si="177"/>
        <v>0.73770227369576269</v>
      </c>
      <c r="M1232" s="309">
        <f t="shared" si="185"/>
        <v>4.6300942210949989</v>
      </c>
      <c r="N1232" s="294">
        <v>1</v>
      </c>
      <c r="O1232" s="294">
        <f t="shared" si="184"/>
        <v>4.6300942210949989</v>
      </c>
      <c r="P1232" s="294"/>
    </row>
    <row r="1233" spans="1:16">
      <c r="A1233" s="294"/>
      <c r="B1233" s="294" t="s">
        <v>380</v>
      </c>
      <c r="C1233" s="294" t="s">
        <v>379</v>
      </c>
      <c r="D1233" s="295" t="s">
        <v>1063</v>
      </c>
      <c r="E1233" s="296">
        <v>8</v>
      </c>
      <c r="F1233" s="294">
        <v>25.7</v>
      </c>
      <c r="G1233" s="308">
        <f t="shared" si="182"/>
        <v>17.711598760000001</v>
      </c>
      <c r="H1233" s="294">
        <v>198.2</v>
      </c>
      <c r="I1233" s="297"/>
      <c r="J1233" s="297"/>
      <c r="K1233" s="294">
        <f t="shared" ref="K1233:K1296" si="186">2.5-0.024*F1233</f>
        <v>1.8832</v>
      </c>
      <c r="L1233" s="294">
        <f t="shared" ref="L1233:L1296" si="187">1/(1.05+1.4*EXP(-0.0604*F1233))</f>
        <v>0.74268247605162208</v>
      </c>
      <c r="M1233" s="309">
        <f t="shared" si="185"/>
        <v>5.6924492928496973</v>
      </c>
      <c r="N1233" s="294">
        <v>1</v>
      </c>
      <c r="O1233" s="294">
        <f t="shared" si="184"/>
        <v>5.6924492928496973</v>
      </c>
      <c r="P1233" s="294"/>
    </row>
    <row r="1234" spans="1:16">
      <c r="A1234" s="294"/>
      <c r="B1234" s="294" t="s">
        <v>380</v>
      </c>
      <c r="C1234" s="294" t="s">
        <v>379</v>
      </c>
      <c r="D1234" s="295" t="s">
        <v>1063</v>
      </c>
      <c r="E1234" s="296">
        <v>9</v>
      </c>
      <c r="F1234" s="294">
        <v>20.5</v>
      </c>
      <c r="G1234" s="308">
        <f t="shared" si="182"/>
        <v>13.829694009999999</v>
      </c>
      <c r="H1234" s="294">
        <v>151.69999999999999</v>
      </c>
      <c r="I1234" s="297"/>
      <c r="J1234" s="297"/>
      <c r="K1234" s="294">
        <f t="shared" si="186"/>
        <v>2.008</v>
      </c>
      <c r="L1234" s="294">
        <f t="shared" si="187"/>
        <v>0.6868755481020804</v>
      </c>
      <c r="M1234" s="309">
        <f t="shared" si="185"/>
        <v>3.8101482447332384</v>
      </c>
      <c r="N1234" s="294">
        <v>0</v>
      </c>
      <c r="O1234" s="294" t="str">
        <f t="shared" si="184"/>
        <v/>
      </c>
      <c r="P1234" s="294"/>
    </row>
    <row r="1235" spans="1:16">
      <c r="A1235" s="294"/>
      <c r="B1235" s="294" t="s">
        <v>380</v>
      </c>
      <c r="C1235" s="294" t="s">
        <v>379</v>
      </c>
      <c r="D1235" s="295" t="s">
        <v>1063</v>
      </c>
      <c r="E1235" s="296">
        <v>10</v>
      </c>
      <c r="F1235" s="294">
        <v>14.7</v>
      </c>
      <c r="G1235" s="308">
        <f t="shared" si="182"/>
        <v>14.237908439999998</v>
      </c>
      <c r="H1235" s="294">
        <v>226.8</v>
      </c>
      <c r="I1235" s="297"/>
      <c r="J1235" s="297"/>
      <c r="K1235" s="294">
        <f t="shared" si="186"/>
        <v>2.1471999999999998</v>
      </c>
      <c r="L1235" s="294">
        <f t="shared" si="187"/>
        <v>0.61495389297523528</v>
      </c>
      <c r="M1235" s="309">
        <f t="shared" si="185"/>
        <v>3.2648871931852974</v>
      </c>
      <c r="N1235" s="294">
        <v>0</v>
      </c>
      <c r="O1235" s="294" t="str">
        <f t="shared" si="184"/>
        <v/>
      </c>
      <c r="P1235" s="294"/>
    </row>
    <row r="1236" spans="1:16">
      <c r="A1236" s="294"/>
      <c r="B1236" s="294" t="s">
        <v>380</v>
      </c>
      <c r="C1236" s="294" t="s">
        <v>379</v>
      </c>
      <c r="D1236" s="295" t="s">
        <v>1063</v>
      </c>
      <c r="E1236" s="296">
        <v>11</v>
      </c>
      <c r="F1236" s="294">
        <v>11.9</v>
      </c>
      <c r="G1236" s="308">
        <f t="shared" si="182"/>
        <v>6.936222149999999</v>
      </c>
      <c r="H1236" s="294">
        <v>95.5</v>
      </c>
      <c r="I1236" s="297"/>
      <c r="J1236" s="297"/>
      <c r="K1236" s="294">
        <f t="shared" si="186"/>
        <v>2.2143999999999999</v>
      </c>
      <c r="L1236" s="294">
        <f t="shared" si="187"/>
        <v>0.57726765540955094</v>
      </c>
      <c r="M1236" s="309">
        <f t="shared" si="185"/>
        <v>1.3698389373066271</v>
      </c>
      <c r="N1236" s="294">
        <v>0</v>
      </c>
      <c r="O1236" s="294" t="str">
        <f t="shared" si="184"/>
        <v/>
      </c>
      <c r="P1236" s="294"/>
    </row>
    <row r="1237" spans="1:16">
      <c r="A1237" s="294"/>
      <c r="B1237" s="294" t="s">
        <v>380</v>
      </c>
      <c r="C1237" s="294" t="s">
        <v>379</v>
      </c>
      <c r="D1237" s="295" t="s">
        <v>1063</v>
      </c>
      <c r="E1237" s="296">
        <v>12</v>
      </c>
      <c r="F1237" s="294">
        <v>6</v>
      </c>
      <c r="G1237" s="308">
        <f t="shared" si="182"/>
        <v>6.0871334299999988</v>
      </c>
      <c r="H1237" s="294">
        <v>105.1</v>
      </c>
      <c r="I1237" s="297"/>
      <c r="J1237" s="297"/>
      <c r="K1237" s="294">
        <f t="shared" si="186"/>
        <v>2.3559999999999999</v>
      </c>
      <c r="L1237" s="294">
        <f t="shared" si="187"/>
        <v>0.49397218711142404</v>
      </c>
      <c r="M1237" s="309">
        <f t="shared" si="185"/>
        <v>0.92567924550207847</v>
      </c>
      <c r="N1237" s="294">
        <v>0</v>
      </c>
      <c r="O1237" s="294" t="str">
        <f t="shared" si="184"/>
        <v/>
      </c>
      <c r="P1237" s="294"/>
    </row>
    <row r="1238" spans="1:16">
      <c r="A1238" s="294">
        <v>104</v>
      </c>
      <c r="B1238" s="294" t="s">
        <v>382</v>
      </c>
      <c r="C1238" s="294" t="s">
        <v>382</v>
      </c>
      <c r="D1238" s="295" t="s">
        <v>1063</v>
      </c>
      <c r="E1238" s="296">
        <v>1</v>
      </c>
      <c r="F1238" s="294">
        <v>5.8</v>
      </c>
      <c r="G1238" s="294">
        <v>8.1999999999999993</v>
      </c>
      <c r="H1238" s="294"/>
      <c r="I1238" s="294">
        <v>0.83099999999999996</v>
      </c>
      <c r="J1238" s="294">
        <v>-0.01</v>
      </c>
      <c r="K1238" s="294">
        <f t="shared" si="186"/>
        <v>2.3608000000000002</v>
      </c>
      <c r="L1238" s="294">
        <f t="shared" si="187"/>
        <v>0.49109939417523152</v>
      </c>
      <c r="M1238" s="297">
        <f>$I$1238*L1238*(G1238/K1238)+$J$1238</f>
        <v>1.4075065620928759</v>
      </c>
      <c r="N1238" s="294">
        <v>0</v>
      </c>
      <c r="O1238" s="294" t="str">
        <f t="shared" si="184"/>
        <v/>
      </c>
      <c r="P1238" s="294">
        <f>AVERAGE(O1238:O1249)</f>
        <v>5.5173354326236339</v>
      </c>
    </row>
    <row r="1239" spans="1:16">
      <c r="A1239" s="294"/>
      <c r="B1239" s="294" t="s">
        <v>382</v>
      </c>
      <c r="C1239" s="294" t="s">
        <v>382</v>
      </c>
      <c r="D1239" s="295" t="s">
        <v>1063</v>
      </c>
      <c r="E1239" s="296">
        <v>2</v>
      </c>
      <c r="F1239" s="294">
        <v>6.1</v>
      </c>
      <c r="G1239" s="294">
        <v>10.7</v>
      </c>
      <c r="H1239" s="294"/>
      <c r="I1239" s="294"/>
      <c r="J1239" s="294"/>
      <c r="K1239" s="294">
        <f t="shared" si="186"/>
        <v>2.3536000000000001</v>
      </c>
      <c r="L1239" s="294">
        <f t="shared" si="187"/>
        <v>0.49540811078051672</v>
      </c>
      <c r="M1239" s="297">
        <f t="shared" ref="M1239:M1249" si="188">$I$1238*L1239*(G1239/K1239)+$J$1238</f>
        <v>1.8616095762351799</v>
      </c>
      <c r="N1239" s="294">
        <v>0</v>
      </c>
      <c r="O1239" s="294" t="str">
        <f t="shared" si="184"/>
        <v/>
      </c>
      <c r="P1239" s="294"/>
    </row>
    <row r="1240" spans="1:16">
      <c r="A1240" s="294"/>
      <c r="B1240" s="294" t="s">
        <v>382</v>
      </c>
      <c r="C1240" s="294" t="s">
        <v>382</v>
      </c>
      <c r="D1240" s="295" t="s">
        <v>1063</v>
      </c>
      <c r="E1240" s="296">
        <v>3</v>
      </c>
      <c r="F1240" s="294">
        <v>10</v>
      </c>
      <c r="G1240" s="294">
        <v>15.2</v>
      </c>
      <c r="H1240" s="294"/>
      <c r="I1240" s="294"/>
      <c r="J1240" s="294"/>
      <c r="K1240" s="294">
        <f t="shared" si="186"/>
        <v>2.2599999999999998</v>
      </c>
      <c r="L1240" s="294">
        <f t="shared" si="187"/>
        <v>0.55088251592251125</v>
      </c>
      <c r="M1240" s="297">
        <f t="shared" si="188"/>
        <v>3.0688970066904537</v>
      </c>
      <c r="N1240" s="294">
        <v>0</v>
      </c>
      <c r="O1240" s="294" t="str">
        <f t="shared" si="184"/>
        <v/>
      </c>
      <c r="P1240" s="294"/>
    </row>
    <row r="1241" spans="1:16">
      <c r="A1241" s="294"/>
      <c r="B1241" s="294" t="s">
        <v>382</v>
      </c>
      <c r="C1241" s="294" t="s">
        <v>382</v>
      </c>
      <c r="D1241" s="295" t="s">
        <v>1063</v>
      </c>
      <c r="E1241" s="296">
        <v>4</v>
      </c>
      <c r="F1241" s="294">
        <v>15.8</v>
      </c>
      <c r="G1241" s="294">
        <v>14.9</v>
      </c>
      <c r="H1241" s="294"/>
      <c r="I1241" s="294"/>
      <c r="J1241" s="294"/>
      <c r="K1241" s="294">
        <f t="shared" si="186"/>
        <v>2.1208</v>
      </c>
      <c r="L1241" s="294">
        <f t="shared" si="187"/>
        <v>0.62928564442883417</v>
      </c>
      <c r="M1241" s="297">
        <f t="shared" si="188"/>
        <v>3.6639682764774526</v>
      </c>
      <c r="N1241" s="294">
        <v>0</v>
      </c>
      <c r="O1241" s="294" t="str">
        <f t="shared" si="184"/>
        <v/>
      </c>
      <c r="P1241" s="294"/>
    </row>
    <row r="1242" spans="1:16">
      <c r="A1242" s="294"/>
      <c r="B1242" s="294" t="s">
        <v>382</v>
      </c>
      <c r="C1242" s="294" t="s">
        <v>382</v>
      </c>
      <c r="D1242" s="295" t="s">
        <v>1063</v>
      </c>
      <c r="E1242" s="296">
        <v>5</v>
      </c>
      <c r="F1242" s="294">
        <v>20.5</v>
      </c>
      <c r="G1242" s="294">
        <v>20.2</v>
      </c>
      <c r="H1242" s="294"/>
      <c r="I1242" s="294"/>
      <c r="J1242" s="294"/>
      <c r="K1242" s="294">
        <f t="shared" si="186"/>
        <v>2.008</v>
      </c>
      <c r="L1242" s="294">
        <f t="shared" si="187"/>
        <v>0.6868755481020804</v>
      </c>
      <c r="M1242" s="297">
        <f t="shared" si="188"/>
        <v>5.7320469748760665</v>
      </c>
      <c r="N1242" s="294">
        <v>0</v>
      </c>
      <c r="O1242" s="294" t="str">
        <f t="shared" si="184"/>
        <v/>
      </c>
      <c r="P1242" s="294"/>
    </row>
    <row r="1243" spans="1:16">
      <c r="A1243" s="294"/>
      <c r="B1243" s="294" t="s">
        <v>382</v>
      </c>
      <c r="C1243" s="294" t="s">
        <v>382</v>
      </c>
      <c r="D1243" s="295" t="s">
        <v>1063</v>
      </c>
      <c r="E1243" s="296">
        <v>6</v>
      </c>
      <c r="F1243" s="294">
        <v>22.5</v>
      </c>
      <c r="G1243" s="294">
        <v>16.100000000000001</v>
      </c>
      <c r="H1243" s="294"/>
      <c r="I1243" s="294"/>
      <c r="J1243" s="294"/>
      <c r="K1243" s="294">
        <f t="shared" si="186"/>
        <v>1.96</v>
      </c>
      <c r="L1243" s="294">
        <f t="shared" si="187"/>
        <v>0.70937854133350386</v>
      </c>
      <c r="M1243" s="297">
        <f t="shared" si="188"/>
        <v>4.8322685930383074</v>
      </c>
      <c r="N1243" s="294">
        <v>0</v>
      </c>
      <c r="O1243" s="294" t="str">
        <f t="shared" si="184"/>
        <v/>
      </c>
      <c r="P1243" s="294"/>
    </row>
    <row r="1244" spans="1:16">
      <c r="A1244" s="294"/>
      <c r="B1244" s="294" t="s">
        <v>382</v>
      </c>
      <c r="C1244" s="294" t="s">
        <v>382</v>
      </c>
      <c r="D1244" s="295" t="s">
        <v>1063</v>
      </c>
      <c r="E1244" s="296">
        <v>7</v>
      </c>
      <c r="F1244" s="294">
        <v>26.5</v>
      </c>
      <c r="G1244" s="294">
        <v>15.5</v>
      </c>
      <c r="H1244" s="294"/>
      <c r="I1244" s="294"/>
      <c r="J1244" s="294"/>
      <c r="K1244" s="294">
        <f t="shared" si="186"/>
        <v>1.8639999999999999</v>
      </c>
      <c r="L1244" s="294">
        <f t="shared" si="187"/>
        <v>0.75047716295715017</v>
      </c>
      <c r="M1244" s="297">
        <f t="shared" si="188"/>
        <v>5.1759018763248781</v>
      </c>
      <c r="N1244" s="294">
        <v>1</v>
      </c>
      <c r="O1244" s="294">
        <f t="shared" si="184"/>
        <v>5.1759018763248781</v>
      </c>
      <c r="P1244" s="294"/>
    </row>
    <row r="1245" spans="1:16">
      <c r="A1245" s="294"/>
      <c r="B1245" s="294" t="s">
        <v>382</v>
      </c>
      <c r="C1245" s="294" t="s">
        <v>382</v>
      </c>
      <c r="D1245" s="295" t="s">
        <v>1063</v>
      </c>
      <c r="E1245" s="296">
        <v>8</v>
      </c>
      <c r="F1245" s="294">
        <v>27.5</v>
      </c>
      <c r="G1245" s="294">
        <v>17.100000000000001</v>
      </c>
      <c r="H1245" s="294"/>
      <c r="I1245" s="294"/>
      <c r="J1245" s="294"/>
      <c r="K1245" s="294">
        <f t="shared" si="186"/>
        <v>1.8399999999999999</v>
      </c>
      <c r="L1245" s="294">
        <f t="shared" si="187"/>
        <v>0.75991970074926962</v>
      </c>
      <c r="M1245" s="297">
        <f t="shared" si="188"/>
        <v>5.8587689889223897</v>
      </c>
      <c r="N1245" s="294">
        <v>1</v>
      </c>
      <c r="O1245" s="294">
        <f t="shared" si="184"/>
        <v>5.8587689889223897</v>
      </c>
      <c r="P1245" s="294"/>
    </row>
    <row r="1246" spans="1:16">
      <c r="A1246" s="294"/>
      <c r="B1246" s="294" t="s">
        <v>382</v>
      </c>
      <c r="C1246" s="294" t="s">
        <v>382</v>
      </c>
      <c r="D1246" s="295" t="s">
        <v>1063</v>
      </c>
      <c r="E1246" s="296">
        <v>9</v>
      </c>
      <c r="F1246" s="294">
        <v>23.1</v>
      </c>
      <c r="G1246" s="294">
        <v>14.9</v>
      </c>
      <c r="H1246" s="294"/>
      <c r="I1246" s="294"/>
      <c r="J1246" s="294"/>
      <c r="K1246" s="294">
        <f t="shared" si="186"/>
        <v>1.9456</v>
      </c>
      <c r="L1246" s="294">
        <f t="shared" si="187"/>
        <v>0.71587957464624719</v>
      </c>
      <c r="M1246" s="297">
        <f t="shared" si="188"/>
        <v>4.5458949965626898</v>
      </c>
      <c r="N1246" s="294">
        <v>0</v>
      </c>
      <c r="O1246" s="294" t="str">
        <f t="shared" si="184"/>
        <v/>
      </c>
      <c r="P1246" s="294"/>
    </row>
    <row r="1247" spans="1:16">
      <c r="A1247" s="294"/>
      <c r="B1247" s="294" t="s">
        <v>382</v>
      </c>
      <c r="C1247" s="294" t="s">
        <v>382</v>
      </c>
      <c r="D1247" s="295" t="s">
        <v>1063</v>
      </c>
      <c r="E1247" s="296">
        <v>10</v>
      </c>
      <c r="F1247" s="294">
        <v>18</v>
      </c>
      <c r="G1247" s="294">
        <v>14.9</v>
      </c>
      <c r="H1247" s="294"/>
      <c r="I1247" s="294"/>
      <c r="J1247" s="294"/>
      <c r="K1247" s="294">
        <f t="shared" si="186"/>
        <v>2.0680000000000001</v>
      </c>
      <c r="L1247" s="294">
        <f t="shared" si="187"/>
        <v>0.65702033496476719</v>
      </c>
      <c r="M1247" s="297">
        <f t="shared" si="188"/>
        <v>3.9238298285784574</v>
      </c>
      <c r="N1247" s="294">
        <v>0</v>
      </c>
      <c r="O1247" s="294" t="str">
        <f t="shared" si="184"/>
        <v/>
      </c>
      <c r="P1247" s="294"/>
    </row>
    <row r="1248" spans="1:16">
      <c r="A1248" s="294"/>
      <c r="B1248" s="294" t="s">
        <v>382</v>
      </c>
      <c r="C1248" s="294" t="s">
        <v>382</v>
      </c>
      <c r="D1248" s="295" t="s">
        <v>1063</v>
      </c>
      <c r="E1248" s="296">
        <v>11</v>
      </c>
      <c r="F1248" s="294">
        <v>14.6</v>
      </c>
      <c r="G1248" s="294">
        <v>8</v>
      </c>
      <c r="H1248" s="294"/>
      <c r="I1248" s="294"/>
      <c r="J1248" s="294"/>
      <c r="K1248" s="294">
        <f t="shared" si="186"/>
        <v>2.1496</v>
      </c>
      <c r="L1248" s="294">
        <f t="shared" si="187"/>
        <v>0.61363675963733433</v>
      </c>
      <c r="M1248" s="297">
        <f t="shared" si="188"/>
        <v>1.8877750177098056</v>
      </c>
      <c r="N1248" s="294">
        <v>0</v>
      </c>
      <c r="O1248" s="294" t="str">
        <f t="shared" si="184"/>
        <v/>
      </c>
      <c r="P1248" s="294"/>
    </row>
    <row r="1249" spans="1:16">
      <c r="A1249" s="294"/>
      <c r="B1249" s="294" t="s">
        <v>382</v>
      </c>
      <c r="C1249" s="294" t="s">
        <v>382</v>
      </c>
      <c r="D1249" s="295" t="s">
        <v>1063</v>
      </c>
      <c r="E1249" s="296">
        <v>12</v>
      </c>
      <c r="F1249" s="294">
        <v>9.3000000000000007</v>
      </c>
      <c r="G1249" s="294">
        <v>8</v>
      </c>
      <c r="H1249" s="294"/>
      <c r="I1249" s="294"/>
      <c r="J1249" s="294"/>
      <c r="K1249" s="294">
        <f t="shared" si="186"/>
        <v>2.2768000000000002</v>
      </c>
      <c r="L1249" s="294">
        <f t="shared" si="187"/>
        <v>0.5410323242451861</v>
      </c>
      <c r="M1249" s="297">
        <f t="shared" si="188"/>
        <v>1.5697535539274403</v>
      </c>
      <c r="N1249" s="294">
        <v>0</v>
      </c>
      <c r="O1249" s="294" t="str">
        <f t="shared" si="184"/>
        <v/>
      </c>
      <c r="P1249" s="294"/>
    </row>
    <row r="1250" spans="1:16">
      <c r="A1250" s="294">
        <v>105</v>
      </c>
      <c r="B1250" s="294" t="s">
        <v>605</v>
      </c>
      <c r="C1250" s="294" t="s">
        <v>383</v>
      </c>
      <c r="D1250" s="295" t="s">
        <v>1063</v>
      </c>
      <c r="E1250" s="296">
        <v>1</v>
      </c>
      <c r="F1250" s="294">
        <v>6.4</v>
      </c>
      <c r="G1250" s="308">
        <f t="shared" ref="G1250:G1273" si="189">$T$11+$T$12*H1250+INDEX($T$13:$T$24,MATCH(E1250,$S$13:$S$24,0),1)</f>
        <v>7.8534587800000013</v>
      </c>
      <c r="H1250" s="294">
        <v>128.6</v>
      </c>
      <c r="I1250" s="306">
        <v>0.93799999999999994</v>
      </c>
      <c r="J1250" s="307">
        <v>0.43</v>
      </c>
      <c r="K1250" s="294">
        <f t="shared" si="186"/>
        <v>2.3464</v>
      </c>
      <c r="L1250" s="294">
        <f t="shared" si="187"/>
        <v>0.49971367779083725</v>
      </c>
      <c r="M1250" s="309">
        <f>$I$1250*L1250*(G1250/K1250)+$J$1250</f>
        <v>1.9988556778775675</v>
      </c>
      <c r="N1250" s="294">
        <v>0</v>
      </c>
      <c r="O1250" s="294" t="str">
        <f t="shared" si="184"/>
        <v/>
      </c>
      <c r="P1250" s="294">
        <f>AVERAGE(O1250:O1261)</f>
        <v>6.884388032574293</v>
      </c>
    </row>
    <row r="1251" spans="1:16">
      <c r="A1251" s="294"/>
      <c r="B1251" s="294" t="s">
        <v>605</v>
      </c>
      <c r="C1251" s="294" t="s">
        <v>383</v>
      </c>
      <c r="D1251" s="295" t="s">
        <v>1063</v>
      </c>
      <c r="E1251" s="296">
        <v>2</v>
      </c>
      <c r="F1251" s="294">
        <v>6.4</v>
      </c>
      <c r="G1251" s="308">
        <f t="shared" si="189"/>
        <v>10.43756906</v>
      </c>
      <c r="H1251" s="294">
        <v>132.19999999999999</v>
      </c>
      <c r="I1251" s="297"/>
      <c r="J1251" s="297"/>
      <c r="K1251" s="294">
        <f t="shared" si="186"/>
        <v>2.3464</v>
      </c>
      <c r="L1251" s="294">
        <f t="shared" si="187"/>
        <v>0.49971367779083725</v>
      </c>
      <c r="M1251" s="309">
        <f t="shared" ref="M1251:M1261" si="190">$I$1250*L1251*(G1251/K1251)+$J$1250</f>
        <v>2.5150735888143569</v>
      </c>
      <c r="N1251" s="294">
        <v>0</v>
      </c>
      <c r="O1251" s="294" t="str">
        <f t="shared" si="184"/>
        <v/>
      </c>
      <c r="P1251" s="294"/>
    </row>
    <row r="1252" spans="1:16">
      <c r="A1252" s="294"/>
      <c r="B1252" s="294" t="s">
        <v>605</v>
      </c>
      <c r="C1252" s="294" t="s">
        <v>383</v>
      </c>
      <c r="D1252" s="295" t="s">
        <v>1063</v>
      </c>
      <c r="E1252" s="296">
        <v>3</v>
      </c>
      <c r="F1252" s="294">
        <v>9.8000000000000007</v>
      </c>
      <c r="G1252" s="308">
        <f t="shared" si="189"/>
        <v>15.342990829999998</v>
      </c>
      <c r="H1252" s="294">
        <v>204.1</v>
      </c>
      <c r="I1252" s="297"/>
      <c r="J1252" s="297"/>
      <c r="K1252" s="294">
        <f t="shared" si="186"/>
        <v>2.2648000000000001</v>
      </c>
      <c r="L1252" s="294">
        <f t="shared" si="187"/>
        <v>0.54807446203847976</v>
      </c>
      <c r="M1252" s="309">
        <f t="shared" si="190"/>
        <v>3.9127521881006424</v>
      </c>
      <c r="N1252" s="294">
        <v>0</v>
      </c>
      <c r="O1252" s="294" t="str">
        <f t="shared" si="184"/>
        <v/>
      </c>
      <c r="P1252" s="294"/>
    </row>
    <row r="1253" spans="1:16">
      <c r="A1253" s="294"/>
      <c r="B1253" s="294" t="s">
        <v>605</v>
      </c>
      <c r="C1253" s="294" t="s">
        <v>383</v>
      </c>
      <c r="D1253" s="295" t="s">
        <v>1063</v>
      </c>
      <c r="E1253" s="296">
        <v>4</v>
      </c>
      <c r="F1253" s="294">
        <v>15.4</v>
      </c>
      <c r="G1253" s="308">
        <f t="shared" si="189"/>
        <v>14.80646086</v>
      </c>
      <c r="H1253" s="294">
        <v>150.19999999999999</v>
      </c>
      <c r="I1253" s="297"/>
      <c r="J1253" s="297"/>
      <c r="K1253" s="294">
        <f t="shared" si="186"/>
        <v>2.1303999999999998</v>
      </c>
      <c r="L1253" s="294">
        <f t="shared" si="187"/>
        <v>0.62410798525255673</v>
      </c>
      <c r="M1253" s="309">
        <f t="shared" si="190"/>
        <v>4.4986720652365753</v>
      </c>
      <c r="N1253" s="294">
        <v>0</v>
      </c>
      <c r="O1253" s="294" t="str">
        <f t="shared" si="184"/>
        <v/>
      </c>
      <c r="P1253" s="294"/>
    </row>
    <row r="1254" spans="1:16">
      <c r="A1254" s="294"/>
      <c r="B1254" s="294" t="s">
        <v>605</v>
      </c>
      <c r="C1254" s="294" t="s">
        <v>383</v>
      </c>
      <c r="D1254" s="295" t="s">
        <v>1063</v>
      </c>
      <c r="E1254" s="296">
        <v>5</v>
      </c>
      <c r="F1254" s="294">
        <v>19.600000000000001</v>
      </c>
      <c r="G1254" s="308">
        <f t="shared" si="189"/>
        <v>20.651304360000001</v>
      </c>
      <c r="H1254" s="294">
        <v>239.2</v>
      </c>
      <c r="I1254" s="297"/>
      <c r="J1254" s="297"/>
      <c r="K1254" s="294">
        <f t="shared" si="186"/>
        <v>2.0295999999999998</v>
      </c>
      <c r="L1254" s="294">
        <f t="shared" si="187"/>
        <v>0.67634220580418636</v>
      </c>
      <c r="M1254" s="309">
        <f t="shared" si="190"/>
        <v>6.8851503357677863</v>
      </c>
      <c r="N1254" s="294">
        <v>0</v>
      </c>
      <c r="O1254" s="294" t="str">
        <f t="shared" si="184"/>
        <v/>
      </c>
      <c r="P1254" s="294"/>
    </row>
    <row r="1255" spans="1:16">
      <c r="A1255" s="294"/>
      <c r="B1255" s="294" t="s">
        <v>605</v>
      </c>
      <c r="C1255" s="294" t="s">
        <v>383</v>
      </c>
      <c r="D1255" s="295" t="s">
        <v>1063</v>
      </c>
      <c r="E1255" s="296">
        <v>6</v>
      </c>
      <c r="F1255" s="294">
        <v>21.7</v>
      </c>
      <c r="G1255" s="308">
        <f t="shared" si="189"/>
        <v>16.310528599999998</v>
      </c>
      <c r="H1255" s="294">
        <v>142</v>
      </c>
      <c r="I1255" s="297"/>
      <c r="J1255" s="297"/>
      <c r="K1255" s="294">
        <f t="shared" si="186"/>
        <v>1.9792000000000001</v>
      </c>
      <c r="L1255" s="294">
        <f t="shared" si="187"/>
        <v>0.70052966467044631</v>
      </c>
      <c r="M1255" s="309">
        <f t="shared" si="190"/>
        <v>5.8451154833512859</v>
      </c>
      <c r="N1255" s="294">
        <v>0</v>
      </c>
      <c r="O1255" s="294" t="str">
        <f t="shared" si="184"/>
        <v/>
      </c>
      <c r="P1255" s="294"/>
    </row>
    <row r="1256" spans="1:16">
      <c r="A1256" s="294"/>
      <c r="B1256" s="294" t="s">
        <v>605</v>
      </c>
      <c r="C1256" s="294" t="s">
        <v>383</v>
      </c>
      <c r="D1256" s="295" t="s">
        <v>1063</v>
      </c>
      <c r="E1256" s="296">
        <v>7</v>
      </c>
      <c r="F1256" s="294">
        <v>25.7</v>
      </c>
      <c r="G1256" s="308">
        <f t="shared" si="189"/>
        <v>16.060013290000001</v>
      </c>
      <c r="H1256" s="294">
        <v>145.30000000000001</v>
      </c>
      <c r="I1256" s="297"/>
      <c r="J1256" s="297"/>
      <c r="K1256" s="294">
        <f t="shared" si="186"/>
        <v>1.8832</v>
      </c>
      <c r="L1256" s="294">
        <f t="shared" si="187"/>
        <v>0.74268247605162208</v>
      </c>
      <c r="M1256" s="309">
        <f t="shared" si="190"/>
        <v>6.370944152840659</v>
      </c>
      <c r="N1256" s="294">
        <v>1</v>
      </c>
      <c r="O1256" s="294">
        <f t="shared" si="184"/>
        <v>6.370944152840659</v>
      </c>
      <c r="P1256" s="294"/>
    </row>
    <row r="1257" spans="1:16">
      <c r="A1257" s="294"/>
      <c r="B1257" s="294" t="s">
        <v>605</v>
      </c>
      <c r="C1257" s="294" t="s">
        <v>383</v>
      </c>
      <c r="D1257" s="295" t="s">
        <v>1063</v>
      </c>
      <c r="E1257" s="296">
        <v>8</v>
      </c>
      <c r="F1257" s="294">
        <v>26.9</v>
      </c>
      <c r="G1257" s="308">
        <f t="shared" si="189"/>
        <v>18.262382290000001</v>
      </c>
      <c r="H1257" s="294">
        <v>210.3</v>
      </c>
      <c r="I1257" s="297"/>
      <c r="J1257" s="297"/>
      <c r="K1257" s="294">
        <f t="shared" si="186"/>
        <v>1.8544</v>
      </c>
      <c r="L1257" s="294">
        <f t="shared" si="187"/>
        <v>0.75429428284269995</v>
      </c>
      <c r="M1257" s="309">
        <f t="shared" si="190"/>
        <v>7.3978319123079261</v>
      </c>
      <c r="N1257" s="294">
        <v>1</v>
      </c>
      <c r="O1257" s="294">
        <f t="shared" si="184"/>
        <v>7.3978319123079261</v>
      </c>
      <c r="P1257" s="294"/>
    </row>
    <row r="1258" spans="1:16">
      <c r="A1258" s="294"/>
      <c r="B1258" s="294" t="s">
        <v>605</v>
      </c>
      <c r="C1258" s="294" t="s">
        <v>383</v>
      </c>
      <c r="D1258" s="295" t="s">
        <v>1063</v>
      </c>
      <c r="E1258" s="296">
        <v>9</v>
      </c>
      <c r="F1258" s="294">
        <v>23</v>
      </c>
      <c r="G1258" s="308">
        <f t="shared" si="189"/>
        <v>13.99811542</v>
      </c>
      <c r="H1258" s="294">
        <v>155.4</v>
      </c>
      <c r="I1258" s="297"/>
      <c r="J1258" s="297"/>
      <c r="K1258" s="294">
        <f t="shared" si="186"/>
        <v>1.948</v>
      </c>
      <c r="L1258" s="294">
        <f t="shared" si="187"/>
        <v>0.71480420137260092</v>
      </c>
      <c r="M1258" s="309">
        <f t="shared" si="190"/>
        <v>5.248041677246758</v>
      </c>
      <c r="N1258" s="294">
        <v>0</v>
      </c>
      <c r="O1258" s="294" t="str">
        <f t="shared" si="184"/>
        <v/>
      </c>
      <c r="P1258" s="294"/>
    </row>
    <row r="1259" spans="1:16">
      <c r="A1259" s="294"/>
      <c r="B1259" s="294" t="s">
        <v>605</v>
      </c>
      <c r="C1259" s="294" t="s">
        <v>383</v>
      </c>
      <c r="D1259" s="295" t="s">
        <v>1063</v>
      </c>
      <c r="E1259" s="296">
        <v>10</v>
      </c>
      <c r="F1259" s="294">
        <v>18.3</v>
      </c>
      <c r="G1259" s="308">
        <f t="shared" si="189"/>
        <v>14.53833582</v>
      </c>
      <c r="H1259" s="294">
        <v>233.4</v>
      </c>
      <c r="I1259" s="297"/>
      <c r="J1259" s="297"/>
      <c r="K1259" s="294">
        <f t="shared" si="186"/>
        <v>2.0608</v>
      </c>
      <c r="L1259" s="294">
        <f t="shared" si="187"/>
        <v>0.66069972168755697</v>
      </c>
      <c r="M1259" s="309">
        <f t="shared" si="190"/>
        <v>4.802056975645205</v>
      </c>
      <c r="N1259" s="294">
        <v>0</v>
      </c>
      <c r="O1259" s="294" t="str">
        <f t="shared" si="184"/>
        <v/>
      </c>
      <c r="P1259" s="294"/>
    </row>
    <row r="1260" spans="1:16">
      <c r="A1260" s="294"/>
      <c r="B1260" s="294" t="s">
        <v>605</v>
      </c>
      <c r="C1260" s="294" t="s">
        <v>383</v>
      </c>
      <c r="D1260" s="295" t="s">
        <v>1063</v>
      </c>
      <c r="E1260" s="296">
        <v>11</v>
      </c>
      <c r="F1260" s="294">
        <v>15.3</v>
      </c>
      <c r="G1260" s="308">
        <f t="shared" si="189"/>
        <v>7.7328098999999995</v>
      </c>
      <c r="H1260" s="294">
        <v>113</v>
      </c>
      <c r="I1260" s="297"/>
      <c r="J1260" s="297"/>
      <c r="K1260" s="294">
        <f t="shared" si="186"/>
        <v>2.1328</v>
      </c>
      <c r="L1260" s="294">
        <f t="shared" si="187"/>
        <v>0.62280743428728291</v>
      </c>
      <c r="M1260" s="309">
        <f t="shared" si="190"/>
        <v>2.5480871629050932</v>
      </c>
      <c r="N1260" s="294">
        <v>0</v>
      </c>
      <c r="O1260" s="294" t="str">
        <f t="shared" si="184"/>
        <v/>
      </c>
      <c r="P1260" s="294"/>
    </row>
    <row r="1261" spans="1:16">
      <c r="A1261" s="294"/>
      <c r="B1261" s="294" t="s">
        <v>605</v>
      </c>
      <c r="C1261" s="294" t="s">
        <v>383</v>
      </c>
      <c r="D1261" s="295" t="s">
        <v>1063</v>
      </c>
      <c r="E1261" s="296">
        <v>12</v>
      </c>
      <c r="F1261" s="294">
        <v>10</v>
      </c>
      <c r="G1261" s="308">
        <f t="shared" si="189"/>
        <v>7.54830296</v>
      </c>
      <c r="H1261" s="294">
        <v>137.19999999999999</v>
      </c>
      <c r="I1261" s="297"/>
      <c r="J1261" s="297"/>
      <c r="K1261" s="294">
        <f t="shared" si="186"/>
        <v>2.2599999999999998</v>
      </c>
      <c r="L1261" s="294">
        <f t="shared" si="187"/>
        <v>0.55088251592251125</v>
      </c>
      <c r="M1261" s="309">
        <f t="shared" si="190"/>
        <v>2.1558486644982433</v>
      </c>
      <c r="N1261" s="294">
        <v>0</v>
      </c>
      <c r="O1261" s="294" t="str">
        <f t="shared" si="184"/>
        <v/>
      </c>
      <c r="P1261" s="294"/>
    </row>
    <row r="1262" spans="1:16">
      <c r="A1262" s="294">
        <v>106</v>
      </c>
      <c r="B1262" s="294" t="s">
        <v>605</v>
      </c>
      <c r="C1262" s="294" t="s">
        <v>606</v>
      </c>
      <c r="D1262" s="295" t="s">
        <v>1063</v>
      </c>
      <c r="E1262" s="296">
        <v>1</v>
      </c>
      <c r="F1262" s="294">
        <v>4.9000000000000004</v>
      </c>
      <c r="G1262" s="308">
        <f t="shared" si="189"/>
        <v>7.7487643899999989</v>
      </c>
      <c r="H1262" s="294">
        <v>126.3</v>
      </c>
      <c r="I1262" s="306">
        <v>0.89700000000000002</v>
      </c>
      <c r="J1262" s="307">
        <v>-0.19</v>
      </c>
      <c r="K1262" s="294">
        <f t="shared" si="186"/>
        <v>2.3824000000000001</v>
      </c>
      <c r="L1262" s="294">
        <f t="shared" si="187"/>
        <v>0.47816140006637126</v>
      </c>
      <c r="M1262" s="309">
        <f>$I$1262*L1262*(G1262/K1262)+$J$1262</f>
        <v>1.205033808960559</v>
      </c>
      <c r="N1262" s="294">
        <v>0</v>
      </c>
      <c r="O1262" s="294" t="str">
        <f t="shared" si="184"/>
        <v/>
      </c>
      <c r="P1262" s="294">
        <f>AVERAGE(O1262:O1273)</f>
        <v>6.0008827954497876</v>
      </c>
    </row>
    <row r="1263" spans="1:16">
      <c r="A1263" s="294"/>
      <c r="B1263" s="294" t="s">
        <v>605</v>
      </c>
      <c r="C1263" s="294" t="s">
        <v>606</v>
      </c>
      <c r="D1263" s="295" t="s">
        <v>1063</v>
      </c>
      <c r="E1263" s="296">
        <v>2</v>
      </c>
      <c r="F1263" s="294">
        <v>5.0999999999999996</v>
      </c>
      <c r="G1263" s="308">
        <f t="shared" si="189"/>
        <v>10.592334679999999</v>
      </c>
      <c r="H1263" s="294">
        <v>135.6</v>
      </c>
      <c r="I1263" s="297"/>
      <c r="J1263" s="297"/>
      <c r="K1263" s="294">
        <f t="shared" si="186"/>
        <v>2.3776000000000002</v>
      </c>
      <c r="L1263" s="294">
        <f t="shared" si="187"/>
        <v>0.48103743439846536</v>
      </c>
      <c r="M1263" s="309">
        <f t="shared" ref="M1263:M1273" si="191">$I$1262*L1263*(G1263/K1263)+$J$1262</f>
        <v>1.7323135179950826</v>
      </c>
      <c r="N1263" s="294">
        <v>0</v>
      </c>
      <c r="O1263" s="294" t="str">
        <f t="shared" si="184"/>
        <v/>
      </c>
      <c r="P1263" s="294"/>
    </row>
    <row r="1264" spans="1:16">
      <c r="A1264" s="294"/>
      <c r="B1264" s="294" t="s">
        <v>605</v>
      </c>
      <c r="C1264" s="294" t="s">
        <v>606</v>
      </c>
      <c r="D1264" s="295" t="s">
        <v>1063</v>
      </c>
      <c r="E1264" s="296">
        <v>3</v>
      </c>
      <c r="F1264" s="294">
        <v>8.5</v>
      </c>
      <c r="G1264" s="308">
        <f t="shared" si="189"/>
        <v>14.550955009999999</v>
      </c>
      <c r="H1264" s="294">
        <v>186.7</v>
      </c>
      <c r="I1264" s="297"/>
      <c r="J1264" s="297"/>
      <c r="K1264" s="294">
        <f t="shared" si="186"/>
        <v>2.2959999999999998</v>
      </c>
      <c r="L1264" s="294">
        <f t="shared" si="187"/>
        <v>0.5297058216756424</v>
      </c>
      <c r="M1264" s="309">
        <f t="shared" si="191"/>
        <v>2.82124993250192</v>
      </c>
      <c r="N1264" s="294">
        <v>0</v>
      </c>
      <c r="O1264" s="294" t="str">
        <f t="shared" si="184"/>
        <v/>
      </c>
      <c r="P1264" s="294"/>
    </row>
    <row r="1265" spans="1:16">
      <c r="A1265" s="294"/>
      <c r="B1265" s="294" t="s">
        <v>605</v>
      </c>
      <c r="C1265" s="294" t="s">
        <v>606</v>
      </c>
      <c r="D1265" s="295" t="s">
        <v>1063</v>
      </c>
      <c r="E1265" s="296">
        <v>4</v>
      </c>
      <c r="F1265" s="294">
        <v>14.6</v>
      </c>
      <c r="G1265" s="308">
        <f t="shared" si="189"/>
        <v>14.92936297</v>
      </c>
      <c r="H1265" s="294">
        <v>152.9</v>
      </c>
      <c r="I1265" s="297"/>
      <c r="J1265" s="297"/>
      <c r="K1265" s="294">
        <f t="shared" si="186"/>
        <v>2.1496</v>
      </c>
      <c r="L1265" s="294">
        <f t="shared" si="187"/>
        <v>0.61363675963733433</v>
      </c>
      <c r="M1265" s="309">
        <f t="shared" si="191"/>
        <v>3.6328515570223705</v>
      </c>
      <c r="N1265" s="294">
        <v>0</v>
      </c>
      <c r="O1265" s="294" t="str">
        <f t="shared" si="184"/>
        <v/>
      </c>
      <c r="P1265" s="294"/>
    </row>
    <row r="1266" spans="1:16">
      <c r="A1266" s="294"/>
      <c r="B1266" s="294" t="s">
        <v>605</v>
      </c>
      <c r="C1266" s="294" t="s">
        <v>606</v>
      </c>
      <c r="D1266" s="295" t="s">
        <v>1063</v>
      </c>
      <c r="E1266" s="296">
        <v>5</v>
      </c>
      <c r="F1266" s="294">
        <v>19.399999999999999</v>
      </c>
      <c r="G1266" s="308">
        <f t="shared" si="189"/>
        <v>20.965387530000001</v>
      </c>
      <c r="H1266" s="294">
        <v>246.1</v>
      </c>
      <c r="I1266" s="297"/>
      <c r="J1266" s="297"/>
      <c r="K1266" s="294">
        <f t="shared" si="186"/>
        <v>2.0344000000000002</v>
      </c>
      <c r="L1266" s="294">
        <f t="shared" si="187"/>
        <v>0.67396814722434939</v>
      </c>
      <c r="M1266" s="309">
        <f t="shared" si="191"/>
        <v>6.0401479749915534</v>
      </c>
      <c r="N1266" s="294">
        <v>0</v>
      </c>
      <c r="O1266" s="294" t="str">
        <f t="shared" si="184"/>
        <v/>
      </c>
      <c r="P1266" s="294"/>
    </row>
    <row r="1267" spans="1:16">
      <c r="A1267" s="294"/>
      <c r="B1267" s="294" t="s">
        <v>605</v>
      </c>
      <c r="C1267" s="294" t="s">
        <v>606</v>
      </c>
      <c r="D1267" s="295" t="s">
        <v>1063</v>
      </c>
      <c r="E1267" s="296">
        <v>6</v>
      </c>
      <c r="F1267" s="294">
        <v>21.6</v>
      </c>
      <c r="G1267" s="308">
        <f t="shared" si="189"/>
        <v>16.674683000000002</v>
      </c>
      <c r="H1267" s="294">
        <v>150</v>
      </c>
      <c r="I1267" s="297"/>
      <c r="J1267" s="297"/>
      <c r="K1267" s="294">
        <f t="shared" si="186"/>
        <v>1.9815999999999998</v>
      </c>
      <c r="L1267" s="294">
        <f t="shared" si="187"/>
        <v>0.69940915925890268</v>
      </c>
      <c r="M1267" s="309">
        <f t="shared" si="191"/>
        <v>5.0891663999248227</v>
      </c>
      <c r="N1267" s="294">
        <v>0</v>
      </c>
      <c r="O1267" s="294" t="str">
        <f t="shared" si="184"/>
        <v/>
      </c>
      <c r="P1267" s="294"/>
    </row>
    <row r="1268" spans="1:16">
      <c r="A1268" s="294"/>
      <c r="B1268" s="294" t="s">
        <v>605</v>
      </c>
      <c r="C1268" s="294" t="s">
        <v>606</v>
      </c>
      <c r="D1268" s="295" t="s">
        <v>1063</v>
      </c>
      <c r="E1268" s="296">
        <v>7</v>
      </c>
      <c r="F1268" s="294">
        <v>26</v>
      </c>
      <c r="G1268" s="308">
        <f t="shared" si="189"/>
        <v>16.52886208</v>
      </c>
      <c r="H1268" s="294">
        <v>155.6</v>
      </c>
      <c r="I1268" s="297"/>
      <c r="J1268" s="297"/>
      <c r="K1268" s="294">
        <f t="shared" si="186"/>
        <v>1.8759999999999999</v>
      </c>
      <c r="L1268" s="294">
        <f t="shared" si="187"/>
        <v>0.74563054537472673</v>
      </c>
      <c r="M1268" s="309">
        <f t="shared" si="191"/>
        <v>5.702861795884453</v>
      </c>
      <c r="N1268" s="294">
        <v>1</v>
      </c>
      <c r="O1268" s="294">
        <f t="shared" si="184"/>
        <v>5.702861795884453</v>
      </c>
      <c r="P1268" s="294"/>
    </row>
    <row r="1269" spans="1:16">
      <c r="A1269" s="294"/>
      <c r="B1269" s="294" t="s">
        <v>605</v>
      </c>
      <c r="C1269" s="294" t="s">
        <v>606</v>
      </c>
      <c r="D1269" s="295" t="s">
        <v>1063</v>
      </c>
      <c r="E1269" s="296">
        <v>8</v>
      </c>
      <c r="F1269" s="294">
        <v>26.8</v>
      </c>
      <c r="G1269" s="308">
        <f t="shared" si="189"/>
        <v>17.829948940000001</v>
      </c>
      <c r="H1269" s="294">
        <v>200.8</v>
      </c>
      <c r="I1269" s="297"/>
      <c r="J1269" s="297"/>
      <c r="K1269" s="294">
        <f t="shared" si="186"/>
        <v>1.8568</v>
      </c>
      <c r="L1269" s="294">
        <f t="shared" si="187"/>
        <v>0.75334501747293869</v>
      </c>
      <c r="M1269" s="309">
        <f t="shared" si="191"/>
        <v>6.2989037950151223</v>
      </c>
      <c r="N1269" s="294">
        <v>1</v>
      </c>
      <c r="O1269" s="294">
        <f t="shared" si="184"/>
        <v>6.2989037950151223</v>
      </c>
      <c r="P1269" s="294"/>
    </row>
    <row r="1270" spans="1:16">
      <c r="A1270" s="294"/>
      <c r="B1270" s="294" t="s">
        <v>605</v>
      </c>
      <c r="C1270" s="294" t="s">
        <v>606</v>
      </c>
      <c r="D1270" s="295" t="s">
        <v>1063</v>
      </c>
      <c r="E1270" s="296">
        <v>9</v>
      </c>
      <c r="F1270" s="294">
        <v>22</v>
      </c>
      <c r="G1270" s="308">
        <f t="shared" si="189"/>
        <v>13.374501009999999</v>
      </c>
      <c r="H1270" s="294">
        <v>141.69999999999999</v>
      </c>
      <c r="I1270" s="297"/>
      <c r="J1270" s="297"/>
      <c r="K1270" s="294">
        <f t="shared" si="186"/>
        <v>1.972</v>
      </c>
      <c r="L1270" s="294">
        <f t="shared" si="187"/>
        <v>0.70387205081416948</v>
      </c>
      <c r="M1270" s="309">
        <f t="shared" si="191"/>
        <v>4.0921003533006175</v>
      </c>
      <c r="N1270" s="294">
        <v>0</v>
      </c>
      <c r="O1270" s="294" t="str">
        <f t="shared" si="184"/>
        <v/>
      </c>
      <c r="P1270" s="294"/>
    </row>
    <row r="1271" spans="1:16">
      <c r="A1271" s="294"/>
      <c r="B1271" s="294" t="s">
        <v>605</v>
      </c>
      <c r="C1271" s="294" t="s">
        <v>606</v>
      </c>
      <c r="D1271" s="295" t="s">
        <v>1063</v>
      </c>
      <c r="E1271" s="296">
        <v>10</v>
      </c>
      <c r="F1271" s="294">
        <v>16.7</v>
      </c>
      <c r="G1271" s="308">
        <f t="shared" si="189"/>
        <v>14.756828460000001</v>
      </c>
      <c r="H1271" s="294">
        <v>238.2</v>
      </c>
      <c r="I1271" s="297"/>
      <c r="J1271" s="297"/>
      <c r="K1271" s="294">
        <f t="shared" si="186"/>
        <v>2.0992000000000002</v>
      </c>
      <c r="L1271" s="294">
        <f t="shared" si="187"/>
        <v>0.64078736157508165</v>
      </c>
      <c r="M1271" s="309">
        <f t="shared" si="191"/>
        <v>3.8505975081779868</v>
      </c>
      <c r="N1271" s="294">
        <v>0</v>
      </c>
      <c r="O1271" s="294" t="str">
        <f t="shared" si="184"/>
        <v/>
      </c>
      <c r="P1271" s="294"/>
    </row>
    <row r="1272" spans="1:16">
      <c r="A1272" s="294"/>
      <c r="B1272" s="294" t="s">
        <v>605</v>
      </c>
      <c r="C1272" s="294" t="s">
        <v>606</v>
      </c>
      <c r="D1272" s="295" t="s">
        <v>1063</v>
      </c>
      <c r="E1272" s="296">
        <v>11</v>
      </c>
      <c r="F1272" s="294">
        <v>13.8</v>
      </c>
      <c r="G1272" s="308">
        <f t="shared" si="189"/>
        <v>7.4414863800000006</v>
      </c>
      <c r="H1272" s="294">
        <v>106.6</v>
      </c>
      <c r="I1272" s="297"/>
      <c r="J1272" s="297"/>
      <c r="K1272" s="294">
        <f t="shared" si="186"/>
        <v>2.1688000000000001</v>
      </c>
      <c r="L1272" s="294">
        <f t="shared" si="187"/>
        <v>0.60301849560891085</v>
      </c>
      <c r="M1272" s="309">
        <f t="shared" si="191"/>
        <v>1.6659371394318219</v>
      </c>
      <c r="N1272" s="294">
        <v>0</v>
      </c>
      <c r="O1272" s="294" t="str">
        <f t="shared" si="184"/>
        <v/>
      </c>
      <c r="P1272" s="294"/>
    </row>
    <row r="1273" spans="1:16">
      <c r="A1273" s="294"/>
      <c r="B1273" s="294" t="s">
        <v>605</v>
      </c>
      <c r="C1273" s="294" t="s">
        <v>606</v>
      </c>
      <c r="D1273" s="295" t="s">
        <v>1063</v>
      </c>
      <c r="E1273" s="296">
        <v>12</v>
      </c>
      <c r="F1273" s="294">
        <v>8.4</v>
      </c>
      <c r="G1273" s="308">
        <f t="shared" si="189"/>
        <v>8.0945345599999996</v>
      </c>
      <c r="H1273" s="294">
        <v>149.19999999999999</v>
      </c>
      <c r="I1273" s="297"/>
      <c r="J1273" s="297"/>
      <c r="K1273" s="294">
        <f t="shared" si="186"/>
        <v>2.2984</v>
      </c>
      <c r="L1273" s="294">
        <f t="shared" si="187"/>
        <v>0.52828541148097485</v>
      </c>
      <c r="M1273" s="309">
        <f t="shared" si="191"/>
        <v>1.4788885290361053</v>
      </c>
      <c r="N1273" s="294">
        <v>0</v>
      </c>
      <c r="O1273" s="294" t="str">
        <f t="shared" si="184"/>
        <v/>
      </c>
      <c r="P1273" s="294"/>
    </row>
    <row r="1274" spans="1:16">
      <c r="A1274" s="294">
        <v>107</v>
      </c>
      <c r="B1274" s="294" t="s">
        <v>386</v>
      </c>
      <c r="C1274" s="294" t="s">
        <v>387</v>
      </c>
      <c r="D1274" s="295" t="s">
        <v>1063</v>
      </c>
      <c r="E1274" s="296">
        <v>1</v>
      </c>
      <c r="F1274" s="294">
        <v>7.7</v>
      </c>
      <c r="G1274" s="294">
        <v>7.3</v>
      </c>
      <c r="H1274" s="294"/>
      <c r="I1274" s="294">
        <v>0.64600000000000002</v>
      </c>
      <c r="J1274" s="294">
        <v>0.86</v>
      </c>
      <c r="K1274" s="294">
        <f t="shared" si="186"/>
        <v>2.3151999999999999</v>
      </c>
      <c r="L1274" s="294">
        <f t="shared" si="187"/>
        <v>0.51831765727127777</v>
      </c>
      <c r="M1274" s="297">
        <f>$I$1274*L1274*(G1274/K1274)+$J$1274</f>
        <v>1.9157543228057583</v>
      </c>
      <c r="N1274" s="294">
        <v>0</v>
      </c>
      <c r="O1274" s="294" t="str">
        <f t="shared" si="184"/>
        <v/>
      </c>
      <c r="P1274" s="294">
        <f>AVERAGE(O1274:O1285)</f>
        <v>5.2061667942489045</v>
      </c>
    </row>
    <row r="1275" spans="1:16">
      <c r="A1275" s="294"/>
      <c r="B1275" s="294" t="s">
        <v>386</v>
      </c>
      <c r="C1275" s="294" t="s">
        <v>387</v>
      </c>
      <c r="D1275" s="295" t="s">
        <v>1063</v>
      </c>
      <c r="E1275" s="296">
        <v>2</v>
      </c>
      <c r="F1275" s="294">
        <v>7.5</v>
      </c>
      <c r="G1275" s="294">
        <v>9.3000000000000007</v>
      </c>
      <c r="H1275" s="294"/>
      <c r="I1275" s="294"/>
      <c r="J1275" s="294"/>
      <c r="K1275" s="294">
        <f t="shared" si="186"/>
        <v>2.3199999999999998</v>
      </c>
      <c r="L1275" s="294">
        <f t="shared" si="187"/>
        <v>0.51546248616696222</v>
      </c>
      <c r="M1275" s="297">
        <f t="shared" ref="M1275:M1285" si="192">$I$1274*L1275*(G1275/K1275)+$J$1274</f>
        <v>2.1948256570663256</v>
      </c>
      <c r="N1275" s="294">
        <v>0</v>
      </c>
      <c r="O1275" s="294" t="str">
        <f t="shared" si="184"/>
        <v/>
      </c>
      <c r="P1275" s="294"/>
    </row>
    <row r="1276" spans="1:16">
      <c r="A1276" s="294"/>
      <c r="B1276" s="294" t="s">
        <v>386</v>
      </c>
      <c r="C1276" s="294" t="s">
        <v>387</v>
      </c>
      <c r="D1276" s="295" t="s">
        <v>1063</v>
      </c>
      <c r="E1276" s="296">
        <v>3</v>
      </c>
      <c r="F1276" s="294">
        <v>10.4</v>
      </c>
      <c r="G1276" s="294">
        <v>14.5</v>
      </c>
      <c r="H1276" s="294"/>
      <c r="I1276" s="294"/>
      <c r="J1276" s="294"/>
      <c r="K1276" s="294">
        <f t="shared" si="186"/>
        <v>2.2504</v>
      </c>
      <c r="L1276" s="294">
        <f t="shared" si="187"/>
        <v>0.55648248816913681</v>
      </c>
      <c r="M1276" s="297">
        <f t="shared" si="192"/>
        <v>3.1762866453431853</v>
      </c>
      <c r="N1276" s="294">
        <v>0</v>
      </c>
      <c r="O1276" s="294" t="str">
        <f t="shared" si="184"/>
        <v/>
      </c>
      <c r="P1276" s="294"/>
    </row>
    <row r="1277" spans="1:16">
      <c r="A1277" s="294"/>
      <c r="B1277" s="294" t="s">
        <v>386</v>
      </c>
      <c r="C1277" s="294" t="s">
        <v>387</v>
      </c>
      <c r="D1277" s="295" t="s">
        <v>1063</v>
      </c>
      <c r="E1277" s="296">
        <v>4</v>
      </c>
      <c r="F1277" s="294">
        <v>15.2</v>
      </c>
      <c r="G1277" s="294">
        <v>15.6</v>
      </c>
      <c r="H1277" s="294"/>
      <c r="I1277" s="294"/>
      <c r="J1277" s="294"/>
      <c r="K1277" s="294">
        <f t="shared" si="186"/>
        <v>2.1352000000000002</v>
      </c>
      <c r="L1277" s="294">
        <f t="shared" si="187"/>
        <v>0.62150446245737101</v>
      </c>
      <c r="M1277" s="297">
        <f t="shared" si="192"/>
        <v>3.7933427177128145</v>
      </c>
      <c r="N1277" s="294">
        <v>0</v>
      </c>
      <c r="O1277" s="294" t="str">
        <f t="shared" si="184"/>
        <v/>
      </c>
      <c r="P1277" s="294"/>
    </row>
    <row r="1278" spans="1:16">
      <c r="A1278" s="294"/>
      <c r="B1278" s="294" t="s">
        <v>386</v>
      </c>
      <c r="C1278" s="294" t="s">
        <v>387</v>
      </c>
      <c r="D1278" s="295" t="s">
        <v>1063</v>
      </c>
      <c r="E1278" s="296">
        <v>5</v>
      </c>
      <c r="F1278" s="294">
        <v>19.8</v>
      </c>
      <c r="G1278" s="294">
        <v>19.899999999999999</v>
      </c>
      <c r="H1278" s="294"/>
      <c r="I1278" s="294"/>
      <c r="J1278" s="294"/>
      <c r="K1278" s="294">
        <f t="shared" si="186"/>
        <v>2.0247999999999999</v>
      </c>
      <c r="L1278" s="294">
        <f t="shared" si="187"/>
        <v>0.67870424089302206</v>
      </c>
      <c r="M1278" s="297">
        <f t="shared" si="192"/>
        <v>5.1690747226274967</v>
      </c>
      <c r="N1278" s="294">
        <v>0</v>
      </c>
      <c r="O1278" s="294" t="str">
        <f t="shared" si="184"/>
        <v/>
      </c>
      <c r="P1278" s="294"/>
    </row>
    <row r="1279" spans="1:16">
      <c r="A1279" s="294"/>
      <c r="B1279" s="294" t="s">
        <v>386</v>
      </c>
      <c r="C1279" s="294" t="s">
        <v>387</v>
      </c>
      <c r="D1279" s="295" t="s">
        <v>1063</v>
      </c>
      <c r="E1279" s="296">
        <v>6</v>
      </c>
      <c r="F1279" s="294">
        <v>21.8</v>
      </c>
      <c r="G1279" s="294">
        <v>15</v>
      </c>
      <c r="H1279" s="294"/>
      <c r="I1279" s="294"/>
      <c r="J1279" s="294"/>
      <c r="K1279" s="294">
        <f t="shared" si="186"/>
        <v>1.9767999999999999</v>
      </c>
      <c r="L1279" s="294">
        <f t="shared" si="187"/>
        <v>0.70164698620294608</v>
      </c>
      <c r="M1279" s="297">
        <f t="shared" si="192"/>
        <v>4.2993764145621958</v>
      </c>
      <c r="N1279" s="294">
        <v>0</v>
      </c>
      <c r="O1279" s="294" t="str">
        <f t="shared" si="184"/>
        <v/>
      </c>
      <c r="P1279" s="294"/>
    </row>
    <row r="1280" spans="1:16">
      <c r="A1280" s="294"/>
      <c r="B1280" s="294" t="s">
        <v>386</v>
      </c>
      <c r="C1280" s="294" t="s">
        <v>387</v>
      </c>
      <c r="D1280" s="295" t="s">
        <v>1063</v>
      </c>
      <c r="E1280" s="296">
        <v>7</v>
      </c>
      <c r="F1280" s="294">
        <v>25.1</v>
      </c>
      <c r="G1280" s="294">
        <v>15.8</v>
      </c>
      <c r="H1280" s="294"/>
      <c r="I1280" s="294"/>
      <c r="J1280" s="294"/>
      <c r="K1280" s="294">
        <f t="shared" si="186"/>
        <v>1.8976</v>
      </c>
      <c r="L1280" s="294">
        <f t="shared" si="187"/>
        <v>0.73669623234985304</v>
      </c>
      <c r="M1280" s="297">
        <f t="shared" si="192"/>
        <v>4.8225374706726818</v>
      </c>
      <c r="N1280" s="294">
        <v>1</v>
      </c>
      <c r="O1280" s="294">
        <f t="shared" si="184"/>
        <v>4.8225374706726818</v>
      </c>
      <c r="P1280" s="294"/>
    </row>
    <row r="1281" spans="1:16">
      <c r="A1281" s="294"/>
      <c r="B1281" s="294" t="s">
        <v>386</v>
      </c>
      <c r="C1281" s="294" t="s">
        <v>387</v>
      </c>
      <c r="D1281" s="295" t="s">
        <v>1063</v>
      </c>
      <c r="E1281" s="296">
        <v>8</v>
      </c>
      <c r="F1281" s="294">
        <v>26.9</v>
      </c>
      <c r="G1281" s="294">
        <v>18</v>
      </c>
      <c r="H1281" s="294"/>
      <c r="I1281" s="294"/>
      <c r="J1281" s="294"/>
      <c r="K1281" s="294">
        <f t="shared" si="186"/>
        <v>1.8544</v>
      </c>
      <c r="L1281" s="294">
        <f t="shared" si="187"/>
        <v>0.75429428284269995</v>
      </c>
      <c r="M1281" s="297">
        <f t="shared" si="192"/>
        <v>5.5897961178251272</v>
      </c>
      <c r="N1281" s="294">
        <v>1</v>
      </c>
      <c r="O1281" s="294">
        <f t="shared" si="184"/>
        <v>5.5897961178251272</v>
      </c>
      <c r="P1281" s="294"/>
    </row>
    <row r="1282" spans="1:16">
      <c r="A1282" s="294"/>
      <c r="B1282" s="294" t="s">
        <v>386</v>
      </c>
      <c r="C1282" s="294" t="s">
        <v>387</v>
      </c>
      <c r="D1282" s="295" t="s">
        <v>1063</v>
      </c>
      <c r="E1282" s="296">
        <v>9</v>
      </c>
      <c r="F1282" s="294">
        <v>23.2</v>
      </c>
      <c r="G1282" s="294">
        <v>14.3</v>
      </c>
      <c r="H1282" s="294"/>
      <c r="I1282" s="294"/>
      <c r="J1282" s="294"/>
      <c r="K1282" s="294">
        <f t="shared" si="186"/>
        <v>1.9432</v>
      </c>
      <c r="L1282" s="294">
        <f t="shared" si="187"/>
        <v>0.71695168352445504</v>
      </c>
      <c r="M1282" s="297">
        <f t="shared" si="192"/>
        <v>4.2683245481999847</v>
      </c>
      <c r="N1282" s="294">
        <v>0</v>
      </c>
      <c r="O1282" s="294" t="str">
        <f t="shared" ref="O1282:O1345" si="193">IF(N1282*M1282=0,"",N1282*M1282)</f>
        <v/>
      </c>
      <c r="P1282" s="294"/>
    </row>
    <row r="1283" spans="1:16">
      <c r="A1283" s="294"/>
      <c r="B1283" s="294" t="s">
        <v>386</v>
      </c>
      <c r="C1283" s="294" t="s">
        <v>387</v>
      </c>
      <c r="D1283" s="295" t="s">
        <v>1063</v>
      </c>
      <c r="E1283" s="296">
        <v>10</v>
      </c>
      <c r="F1283" s="294">
        <v>19.100000000000001</v>
      </c>
      <c r="G1283" s="294">
        <v>14.6</v>
      </c>
      <c r="H1283" s="294"/>
      <c r="I1283" s="294"/>
      <c r="J1283" s="294"/>
      <c r="K1283" s="294">
        <f t="shared" si="186"/>
        <v>2.0415999999999999</v>
      </c>
      <c r="L1283" s="294">
        <f t="shared" si="187"/>
        <v>0.67038469647805343</v>
      </c>
      <c r="M1283" s="297">
        <f t="shared" si="192"/>
        <v>3.9569829071818226</v>
      </c>
      <c r="N1283" s="294">
        <v>0</v>
      </c>
      <c r="O1283" s="294" t="str">
        <f t="shared" si="193"/>
        <v/>
      </c>
      <c r="P1283" s="294"/>
    </row>
    <row r="1284" spans="1:16">
      <c r="A1284" s="294"/>
      <c r="B1284" s="294" t="s">
        <v>386</v>
      </c>
      <c r="C1284" s="294" t="s">
        <v>387</v>
      </c>
      <c r="D1284" s="295" t="s">
        <v>1063</v>
      </c>
      <c r="E1284" s="296">
        <v>11</v>
      </c>
      <c r="F1284" s="294">
        <v>15.9</v>
      </c>
      <c r="G1284" s="294">
        <v>7.6</v>
      </c>
      <c r="H1284" s="294"/>
      <c r="I1284" s="294"/>
      <c r="J1284" s="294"/>
      <c r="K1284" s="294">
        <f t="shared" si="186"/>
        <v>2.1183999999999998</v>
      </c>
      <c r="L1284" s="294">
        <f t="shared" si="187"/>
        <v>0.63057384037924924</v>
      </c>
      <c r="M1284" s="297">
        <f t="shared" si="192"/>
        <v>2.3214167894287963</v>
      </c>
      <c r="N1284" s="294">
        <v>0</v>
      </c>
      <c r="O1284" s="294" t="str">
        <f t="shared" si="193"/>
        <v/>
      </c>
      <c r="P1284" s="294"/>
    </row>
    <row r="1285" spans="1:16">
      <c r="A1285" s="294"/>
      <c r="B1285" s="294" t="s">
        <v>386</v>
      </c>
      <c r="C1285" s="294" t="s">
        <v>387</v>
      </c>
      <c r="D1285" s="295" t="s">
        <v>1063</v>
      </c>
      <c r="E1285" s="296">
        <v>12</v>
      </c>
      <c r="F1285" s="294">
        <v>10.8</v>
      </c>
      <c r="G1285" s="294">
        <v>6.2</v>
      </c>
      <c r="H1285" s="294"/>
      <c r="I1285" s="294"/>
      <c r="J1285" s="294"/>
      <c r="K1285" s="294">
        <f t="shared" si="186"/>
        <v>2.2408000000000001</v>
      </c>
      <c r="L1285" s="294">
        <f t="shared" si="187"/>
        <v>0.56205969531029709</v>
      </c>
      <c r="M1285" s="297">
        <f t="shared" si="192"/>
        <v>1.8646240144844706</v>
      </c>
      <c r="N1285" s="294">
        <v>0</v>
      </c>
      <c r="O1285" s="294" t="str">
        <f t="shared" si="193"/>
        <v/>
      </c>
      <c r="P1285" s="294"/>
    </row>
    <row r="1286" spans="1:16">
      <c r="A1286" s="294">
        <v>108</v>
      </c>
      <c r="B1286" s="294" t="s">
        <v>386</v>
      </c>
      <c r="C1286" s="294" t="s">
        <v>385</v>
      </c>
      <c r="D1286" s="295" t="s">
        <v>1063</v>
      </c>
      <c r="E1286" s="296">
        <v>1</v>
      </c>
      <c r="F1286" s="294">
        <v>6.7</v>
      </c>
      <c r="G1286" s="308">
        <f t="shared" ref="G1286:G1321" si="194">$T$11+$T$12*H1286+INDEX($T$13:$T$24,MATCH(E1286,$S$13:$S$24,0),1)</f>
        <v>5.5683899200000004</v>
      </c>
      <c r="H1286" s="294">
        <v>78.400000000000006</v>
      </c>
      <c r="I1286" s="306">
        <v>0.80300000000000005</v>
      </c>
      <c r="J1286" s="307">
        <v>0.09</v>
      </c>
      <c r="K1286" s="294">
        <f t="shared" si="186"/>
        <v>2.3391999999999999</v>
      </c>
      <c r="L1286" s="294">
        <f t="shared" si="187"/>
        <v>0.50401539269658691</v>
      </c>
      <c r="M1286" s="309">
        <f>$I$1286*L1286*(G1286/K1286)+$J$1286</f>
        <v>1.0534332457549003</v>
      </c>
      <c r="N1286" s="294">
        <v>0</v>
      </c>
      <c r="O1286" s="294" t="str">
        <f t="shared" si="193"/>
        <v/>
      </c>
      <c r="P1286" s="294">
        <f>AVERAGE(O1286:O1297)</f>
        <v>5.3831635061462926</v>
      </c>
    </row>
    <row r="1287" spans="1:16">
      <c r="A1287" s="294"/>
      <c r="B1287" s="294" t="s">
        <v>386</v>
      </c>
      <c r="C1287" s="294" t="s">
        <v>385</v>
      </c>
      <c r="D1287" s="295" t="s">
        <v>1063</v>
      </c>
      <c r="E1287" s="296">
        <v>2</v>
      </c>
      <c r="F1287" s="294">
        <v>6.2</v>
      </c>
      <c r="G1287" s="308">
        <f t="shared" si="194"/>
        <v>7.8111054499999995</v>
      </c>
      <c r="H1287" s="294">
        <v>74.5</v>
      </c>
      <c r="I1287" s="297"/>
      <c r="J1287" s="297"/>
      <c r="K1287" s="294">
        <f t="shared" si="186"/>
        <v>2.3512</v>
      </c>
      <c r="L1287" s="294">
        <f t="shared" si="187"/>
        <v>0.49684368447763227</v>
      </c>
      <c r="M1287" s="309">
        <f t="shared" ref="M1287:M1297" si="195">$I$1286*L1287*(G1287/K1287)+$J$1286</f>
        <v>1.4154344269019714</v>
      </c>
      <c r="N1287" s="294">
        <v>0</v>
      </c>
      <c r="O1287" s="294" t="str">
        <f t="shared" si="193"/>
        <v/>
      </c>
      <c r="P1287" s="294"/>
    </row>
    <row r="1288" spans="1:16">
      <c r="A1288" s="294"/>
      <c r="B1288" s="294" t="s">
        <v>386</v>
      </c>
      <c r="C1288" s="294" t="s">
        <v>385</v>
      </c>
      <c r="D1288" s="295" t="s">
        <v>1063</v>
      </c>
      <c r="E1288" s="296">
        <v>3</v>
      </c>
      <c r="F1288" s="294">
        <v>9.1999999999999993</v>
      </c>
      <c r="G1288" s="308">
        <f t="shared" si="194"/>
        <v>14.59192238</v>
      </c>
      <c r="H1288" s="294">
        <v>187.6</v>
      </c>
      <c r="I1288" s="297"/>
      <c r="J1288" s="297"/>
      <c r="K1288" s="294">
        <f t="shared" si="186"/>
        <v>2.2791999999999999</v>
      </c>
      <c r="L1288" s="294">
        <f t="shared" si="187"/>
        <v>0.53962031736309635</v>
      </c>
      <c r="M1288" s="309">
        <f t="shared" si="195"/>
        <v>2.8641753781429955</v>
      </c>
      <c r="N1288" s="294">
        <v>0</v>
      </c>
      <c r="O1288" s="294" t="str">
        <f t="shared" si="193"/>
        <v/>
      </c>
      <c r="P1288" s="294"/>
    </row>
    <row r="1289" spans="1:16">
      <c r="A1289" s="294"/>
      <c r="B1289" s="294" t="s">
        <v>386</v>
      </c>
      <c r="C1289" s="294" t="s">
        <v>385</v>
      </c>
      <c r="D1289" s="295" t="s">
        <v>1063</v>
      </c>
      <c r="E1289" s="296">
        <v>4</v>
      </c>
      <c r="F1289" s="294">
        <v>14.5</v>
      </c>
      <c r="G1289" s="308">
        <f t="shared" si="194"/>
        <v>15.238894209999998</v>
      </c>
      <c r="H1289" s="294">
        <v>159.69999999999999</v>
      </c>
      <c r="I1289" s="297"/>
      <c r="J1289" s="297"/>
      <c r="K1289" s="294">
        <f t="shared" si="186"/>
        <v>2.1520000000000001</v>
      </c>
      <c r="L1289" s="294">
        <f t="shared" si="187"/>
        <v>0.61231732805409467</v>
      </c>
      <c r="M1289" s="309">
        <f t="shared" si="195"/>
        <v>3.5717956808031919</v>
      </c>
      <c r="N1289" s="294">
        <v>0</v>
      </c>
      <c r="O1289" s="294" t="str">
        <f t="shared" si="193"/>
        <v/>
      </c>
      <c r="P1289" s="294"/>
    </row>
    <row r="1290" spans="1:16">
      <c r="A1290" s="294"/>
      <c r="B1290" s="294" t="s">
        <v>386</v>
      </c>
      <c r="C1290" s="294" t="s">
        <v>385</v>
      </c>
      <c r="D1290" s="295" t="s">
        <v>1063</v>
      </c>
      <c r="E1290" s="296">
        <v>5</v>
      </c>
      <c r="F1290" s="294">
        <v>19</v>
      </c>
      <c r="G1290" s="308">
        <f t="shared" si="194"/>
        <v>20.400948210000003</v>
      </c>
      <c r="H1290" s="294">
        <v>233.7</v>
      </c>
      <c r="I1290" s="297"/>
      <c r="J1290" s="297"/>
      <c r="K1290" s="294">
        <f t="shared" si="186"/>
        <v>2.044</v>
      </c>
      <c r="L1290" s="294">
        <f t="shared" si="187"/>
        <v>0.66918429216402076</v>
      </c>
      <c r="M1290" s="309">
        <f t="shared" si="195"/>
        <v>5.4532833914721675</v>
      </c>
      <c r="N1290" s="294">
        <v>0</v>
      </c>
      <c r="O1290" s="294" t="str">
        <f t="shared" si="193"/>
        <v/>
      </c>
      <c r="P1290" s="294"/>
    </row>
    <row r="1291" spans="1:16">
      <c r="A1291" s="294"/>
      <c r="B1291" s="294" t="s">
        <v>386</v>
      </c>
      <c r="C1291" s="294" t="s">
        <v>385</v>
      </c>
      <c r="D1291" s="295" t="s">
        <v>1063</v>
      </c>
      <c r="E1291" s="296">
        <v>6</v>
      </c>
      <c r="F1291" s="294">
        <v>21.4</v>
      </c>
      <c r="G1291" s="308">
        <f t="shared" si="194"/>
        <v>16.301424740000002</v>
      </c>
      <c r="H1291" s="294">
        <v>141.80000000000001</v>
      </c>
      <c r="I1291" s="297"/>
      <c r="J1291" s="297"/>
      <c r="K1291" s="294">
        <f t="shared" si="186"/>
        <v>1.9864000000000002</v>
      </c>
      <c r="L1291" s="294">
        <f t="shared" si="187"/>
        <v>0.69715862454510524</v>
      </c>
      <c r="M1291" s="309">
        <f t="shared" si="195"/>
        <v>4.6841588383209594</v>
      </c>
      <c r="N1291" s="294">
        <v>0</v>
      </c>
      <c r="O1291" s="294" t="str">
        <f t="shared" si="193"/>
        <v/>
      </c>
      <c r="P1291" s="294"/>
    </row>
    <row r="1292" spans="1:16">
      <c r="A1292" s="294"/>
      <c r="B1292" s="294" t="s">
        <v>386</v>
      </c>
      <c r="C1292" s="294" t="s">
        <v>385</v>
      </c>
      <c r="D1292" s="295" t="s">
        <v>1063</v>
      </c>
      <c r="E1292" s="296">
        <v>7</v>
      </c>
      <c r="F1292" s="294">
        <v>25.2</v>
      </c>
      <c r="G1292" s="308">
        <f t="shared" si="194"/>
        <v>15.609372219999999</v>
      </c>
      <c r="H1292" s="294">
        <v>135.4</v>
      </c>
      <c r="I1292" s="297"/>
      <c r="J1292" s="297"/>
      <c r="K1292" s="294">
        <f t="shared" si="186"/>
        <v>1.8952</v>
      </c>
      <c r="L1292" s="294">
        <f t="shared" si="187"/>
        <v>0.73770227369576269</v>
      </c>
      <c r="M1292" s="309">
        <f t="shared" si="195"/>
        <v>4.9689577407444867</v>
      </c>
      <c r="N1292" s="294">
        <v>1</v>
      </c>
      <c r="O1292" s="294">
        <f t="shared" si="193"/>
        <v>4.9689577407444867</v>
      </c>
      <c r="P1292" s="294"/>
    </row>
    <row r="1293" spans="1:16">
      <c r="A1293" s="294"/>
      <c r="B1293" s="294" t="s">
        <v>386</v>
      </c>
      <c r="C1293" s="294" t="s">
        <v>385</v>
      </c>
      <c r="D1293" s="295" t="s">
        <v>1063</v>
      </c>
      <c r="E1293" s="296">
        <v>8</v>
      </c>
      <c r="F1293" s="294">
        <v>25.8</v>
      </c>
      <c r="G1293" s="308">
        <f t="shared" si="194"/>
        <v>17.975610700000001</v>
      </c>
      <c r="H1293" s="294">
        <v>204</v>
      </c>
      <c r="I1293" s="297"/>
      <c r="J1293" s="297"/>
      <c r="K1293" s="294">
        <f t="shared" si="186"/>
        <v>1.8807999999999998</v>
      </c>
      <c r="L1293" s="294">
        <f t="shared" si="187"/>
        <v>0.74366850574375487</v>
      </c>
      <c r="M1293" s="309">
        <f t="shared" si="195"/>
        <v>5.7973692715480993</v>
      </c>
      <c r="N1293" s="294">
        <v>1</v>
      </c>
      <c r="O1293" s="294">
        <f t="shared" si="193"/>
        <v>5.7973692715480993</v>
      </c>
      <c r="P1293" s="294"/>
    </row>
    <row r="1294" spans="1:16">
      <c r="A1294" s="294"/>
      <c r="B1294" s="294" t="s">
        <v>386</v>
      </c>
      <c r="C1294" s="294" t="s">
        <v>385</v>
      </c>
      <c r="D1294" s="295" t="s">
        <v>1063</v>
      </c>
      <c r="E1294" s="296">
        <v>9</v>
      </c>
      <c r="F1294" s="294">
        <v>21.4</v>
      </c>
      <c r="G1294" s="308">
        <f t="shared" si="194"/>
        <v>13.724999619999998</v>
      </c>
      <c r="H1294" s="294">
        <v>149.4</v>
      </c>
      <c r="I1294" s="297"/>
      <c r="J1294" s="297"/>
      <c r="K1294" s="294">
        <f t="shared" si="186"/>
        <v>1.9864000000000002</v>
      </c>
      <c r="L1294" s="294">
        <f t="shared" si="187"/>
        <v>0.69715862454510524</v>
      </c>
      <c r="M1294" s="309">
        <f t="shared" si="195"/>
        <v>3.9580562782621409</v>
      </c>
      <c r="N1294" s="294">
        <v>0</v>
      </c>
      <c r="O1294" s="294" t="str">
        <f t="shared" si="193"/>
        <v/>
      </c>
      <c r="P1294" s="294"/>
    </row>
    <row r="1295" spans="1:16">
      <c r="A1295" s="294"/>
      <c r="B1295" s="294" t="s">
        <v>386</v>
      </c>
      <c r="C1295" s="294" t="s">
        <v>385</v>
      </c>
      <c r="D1295" s="295" t="s">
        <v>1063</v>
      </c>
      <c r="E1295" s="296">
        <v>10</v>
      </c>
      <c r="F1295" s="294">
        <v>16.7</v>
      </c>
      <c r="G1295" s="308">
        <f t="shared" si="194"/>
        <v>13.737196140000002</v>
      </c>
      <c r="H1295" s="294">
        <v>215.8</v>
      </c>
      <c r="I1295" s="297"/>
      <c r="J1295" s="297"/>
      <c r="K1295" s="294">
        <f t="shared" si="186"/>
        <v>2.0992000000000002</v>
      </c>
      <c r="L1295" s="294">
        <f t="shared" si="187"/>
        <v>0.64078736157508165</v>
      </c>
      <c r="M1295" s="309">
        <f t="shared" si="195"/>
        <v>3.4572376148065769</v>
      </c>
      <c r="N1295" s="294">
        <v>0</v>
      </c>
      <c r="O1295" s="294" t="str">
        <f t="shared" si="193"/>
        <v/>
      </c>
      <c r="P1295" s="294"/>
    </row>
    <row r="1296" spans="1:16">
      <c r="A1296" s="294"/>
      <c r="B1296" s="294" t="s">
        <v>386</v>
      </c>
      <c r="C1296" s="294" t="s">
        <v>385</v>
      </c>
      <c r="D1296" s="295" t="s">
        <v>1063</v>
      </c>
      <c r="E1296" s="296">
        <v>11</v>
      </c>
      <c r="F1296" s="294">
        <v>14.3</v>
      </c>
      <c r="G1296" s="308">
        <f t="shared" si="194"/>
        <v>6.8815989900000005</v>
      </c>
      <c r="H1296" s="294">
        <v>94.3</v>
      </c>
      <c r="I1296" s="297"/>
      <c r="J1296" s="297"/>
      <c r="K1296" s="294">
        <f t="shared" si="186"/>
        <v>2.1568000000000001</v>
      </c>
      <c r="L1296" s="294">
        <f t="shared" si="187"/>
        <v>0.60967164273634389</v>
      </c>
      <c r="M1296" s="309">
        <f t="shared" si="195"/>
        <v>1.652035958823957</v>
      </c>
      <c r="N1296" s="294">
        <v>0</v>
      </c>
      <c r="O1296" s="294" t="str">
        <f t="shared" si="193"/>
        <v/>
      </c>
      <c r="P1296" s="294"/>
    </row>
    <row r="1297" spans="1:16">
      <c r="A1297" s="294"/>
      <c r="B1297" s="294" t="s">
        <v>386</v>
      </c>
      <c r="C1297" s="294" t="s">
        <v>385</v>
      </c>
      <c r="D1297" s="295" t="s">
        <v>1063</v>
      </c>
      <c r="E1297" s="296">
        <v>12</v>
      </c>
      <c r="F1297" s="294">
        <v>9.1</v>
      </c>
      <c r="G1297" s="308">
        <f t="shared" si="194"/>
        <v>5.3952400699999989</v>
      </c>
      <c r="H1297" s="294">
        <v>89.9</v>
      </c>
      <c r="I1297" s="297"/>
      <c r="J1297" s="297"/>
      <c r="K1297" s="294">
        <f t="shared" ref="K1297:K1468" si="196">2.5-0.024*F1297</f>
        <v>2.2816000000000001</v>
      </c>
      <c r="L1297" s="294">
        <f t="shared" ref="L1297:L1468" si="197">1/(1.05+1.4*EXP(-0.0604*F1297))</f>
        <v>0.53820717400547546</v>
      </c>
      <c r="M1297" s="309">
        <f t="shared" si="195"/>
        <v>1.111965637998821</v>
      </c>
      <c r="N1297" s="294">
        <v>0</v>
      </c>
      <c r="O1297" s="294" t="str">
        <f t="shared" si="193"/>
        <v/>
      </c>
      <c r="P1297" s="294"/>
    </row>
    <row r="1298" spans="1:16">
      <c r="A1298" s="294">
        <v>109</v>
      </c>
      <c r="B1298" s="294" t="s">
        <v>386</v>
      </c>
      <c r="C1298" s="294" t="s">
        <v>388</v>
      </c>
      <c r="D1298" s="295" t="s">
        <v>1063</v>
      </c>
      <c r="E1298" s="296">
        <v>1</v>
      </c>
      <c r="F1298" s="294">
        <v>5.8</v>
      </c>
      <c r="G1298" s="308">
        <f t="shared" si="194"/>
        <v>7.9809128200000012</v>
      </c>
      <c r="H1298" s="294">
        <v>131.4</v>
      </c>
      <c r="I1298" s="306">
        <v>0.85899999999999999</v>
      </c>
      <c r="J1298" s="307">
        <v>0.57999999999999996</v>
      </c>
      <c r="K1298" s="294">
        <f t="shared" si="196"/>
        <v>2.3608000000000002</v>
      </c>
      <c r="L1298" s="294">
        <f t="shared" si="197"/>
        <v>0.49109939417523152</v>
      </c>
      <c r="M1298" s="309">
        <f>$I$1298*L1298*(G1298/K1298)+$J$1298</f>
        <v>2.0061195468887849</v>
      </c>
      <c r="N1298" s="294">
        <v>0</v>
      </c>
      <c r="O1298" s="294" t="str">
        <f t="shared" si="193"/>
        <v/>
      </c>
      <c r="P1298" s="294">
        <f>AVERAGE(O1298:O1309)</f>
        <v>6.29954730890144</v>
      </c>
    </row>
    <row r="1299" spans="1:16">
      <c r="A1299" s="294"/>
      <c r="B1299" s="294" t="s">
        <v>386</v>
      </c>
      <c r="C1299" s="294" t="s">
        <v>388</v>
      </c>
      <c r="D1299" s="295" t="s">
        <v>1063</v>
      </c>
      <c r="E1299" s="296">
        <v>2</v>
      </c>
      <c r="F1299" s="294">
        <v>5.8</v>
      </c>
      <c r="G1299" s="308">
        <f t="shared" si="194"/>
        <v>9.9414086899999994</v>
      </c>
      <c r="H1299" s="294">
        <v>121.3</v>
      </c>
      <c r="I1299" s="297"/>
      <c r="J1299" s="297"/>
      <c r="K1299" s="294">
        <f t="shared" si="196"/>
        <v>2.3608000000000002</v>
      </c>
      <c r="L1299" s="294">
        <f t="shared" si="197"/>
        <v>0.49109939417523152</v>
      </c>
      <c r="M1299" s="309">
        <f t="shared" ref="M1299:M1309" si="198">$I$1298*L1299*(G1299/K1299)+$J$1298</f>
        <v>2.3564430681275161</v>
      </c>
      <c r="N1299" s="294">
        <v>0</v>
      </c>
      <c r="O1299" s="294" t="str">
        <f t="shared" si="193"/>
        <v/>
      </c>
      <c r="P1299" s="294"/>
    </row>
    <row r="1300" spans="1:16">
      <c r="A1300" s="294"/>
      <c r="B1300" s="294" t="s">
        <v>386</v>
      </c>
      <c r="C1300" s="294" t="s">
        <v>388</v>
      </c>
      <c r="D1300" s="295" t="s">
        <v>1063</v>
      </c>
      <c r="E1300" s="296">
        <v>3</v>
      </c>
      <c r="F1300" s="294">
        <v>9.4</v>
      </c>
      <c r="G1300" s="308">
        <f t="shared" si="194"/>
        <v>15.001596079999999</v>
      </c>
      <c r="H1300" s="294">
        <v>196.6</v>
      </c>
      <c r="I1300" s="297"/>
      <c r="J1300" s="297"/>
      <c r="K1300" s="294">
        <f t="shared" si="196"/>
        <v>2.2744</v>
      </c>
      <c r="L1300" s="294">
        <f t="shared" si="197"/>
        <v>0.54244317029746025</v>
      </c>
      <c r="M1300" s="309">
        <f t="shared" si="198"/>
        <v>3.6533925240142429</v>
      </c>
      <c r="N1300" s="294">
        <v>0</v>
      </c>
      <c r="O1300" s="294" t="str">
        <f t="shared" si="193"/>
        <v/>
      </c>
      <c r="P1300" s="294"/>
    </row>
    <row r="1301" spans="1:16">
      <c r="A1301" s="294"/>
      <c r="B1301" s="294" t="s">
        <v>386</v>
      </c>
      <c r="C1301" s="294" t="s">
        <v>388</v>
      </c>
      <c r="D1301" s="295" t="s">
        <v>1063</v>
      </c>
      <c r="E1301" s="296">
        <v>4</v>
      </c>
      <c r="F1301" s="294">
        <v>15.3</v>
      </c>
      <c r="G1301" s="308">
        <f t="shared" si="194"/>
        <v>15.2980693</v>
      </c>
      <c r="H1301" s="294">
        <v>161</v>
      </c>
      <c r="I1301" s="297"/>
      <c r="J1301" s="297"/>
      <c r="K1301" s="294">
        <f t="shared" si="196"/>
        <v>2.1328</v>
      </c>
      <c r="L1301" s="294">
        <f t="shared" si="197"/>
        <v>0.62280743428728291</v>
      </c>
      <c r="M1301" s="309">
        <f t="shared" si="198"/>
        <v>4.4173679474644976</v>
      </c>
      <c r="N1301" s="294">
        <v>0</v>
      </c>
      <c r="O1301" s="294" t="str">
        <f t="shared" si="193"/>
        <v/>
      </c>
      <c r="P1301" s="294"/>
    </row>
    <row r="1302" spans="1:16">
      <c r="A1302" s="294"/>
      <c r="B1302" s="294" t="s">
        <v>386</v>
      </c>
      <c r="C1302" s="294" t="s">
        <v>388</v>
      </c>
      <c r="D1302" s="295" t="s">
        <v>1063</v>
      </c>
      <c r="E1302" s="296">
        <v>5</v>
      </c>
      <c r="F1302" s="294">
        <v>19.5</v>
      </c>
      <c r="G1302" s="308">
        <f t="shared" si="194"/>
        <v>20.350876980000002</v>
      </c>
      <c r="H1302" s="294">
        <v>232.6</v>
      </c>
      <c r="I1302" s="297"/>
      <c r="J1302" s="297"/>
      <c r="K1302" s="294">
        <f t="shared" si="196"/>
        <v>2.032</v>
      </c>
      <c r="L1302" s="294">
        <f t="shared" si="197"/>
        <v>0.67515667435506088</v>
      </c>
      <c r="M1302" s="309">
        <f t="shared" si="198"/>
        <v>6.38840852978353</v>
      </c>
      <c r="N1302" s="294">
        <v>0</v>
      </c>
      <c r="O1302" s="294" t="str">
        <f t="shared" si="193"/>
        <v/>
      </c>
      <c r="P1302" s="294"/>
    </row>
    <row r="1303" spans="1:16">
      <c r="A1303" s="294"/>
      <c r="B1303" s="294" t="s">
        <v>386</v>
      </c>
      <c r="C1303" s="294" t="s">
        <v>388</v>
      </c>
      <c r="D1303" s="295" t="s">
        <v>1063</v>
      </c>
      <c r="E1303" s="296">
        <v>6</v>
      </c>
      <c r="F1303" s="294">
        <v>21.8</v>
      </c>
      <c r="G1303" s="308">
        <f t="shared" si="194"/>
        <v>15.937270340000001</v>
      </c>
      <c r="H1303" s="294">
        <v>133.80000000000001</v>
      </c>
      <c r="I1303" s="297"/>
      <c r="J1303" s="297"/>
      <c r="K1303" s="294">
        <f t="shared" si="196"/>
        <v>1.9767999999999999</v>
      </c>
      <c r="L1303" s="294">
        <f t="shared" si="197"/>
        <v>0.70164698620294608</v>
      </c>
      <c r="M1303" s="309">
        <f t="shared" si="198"/>
        <v>5.4391805373985616</v>
      </c>
      <c r="N1303" s="294">
        <v>0</v>
      </c>
      <c r="O1303" s="294" t="str">
        <f t="shared" si="193"/>
        <v/>
      </c>
      <c r="P1303" s="294"/>
    </row>
    <row r="1304" spans="1:16">
      <c r="A1304" s="294"/>
      <c r="B1304" s="294" t="s">
        <v>386</v>
      </c>
      <c r="C1304" s="294" t="s">
        <v>388</v>
      </c>
      <c r="D1304" s="295" t="s">
        <v>1063</v>
      </c>
      <c r="E1304" s="296">
        <v>7</v>
      </c>
      <c r="F1304" s="294">
        <v>25.4</v>
      </c>
      <c r="G1304" s="308">
        <f t="shared" si="194"/>
        <v>15.099556059999999</v>
      </c>
      <c r="H1304" s="294">
        <v>124.2</v>
      </c>
      <c r="I1304" s="297"/>
      <c r="J1304" s="297"/>
      <c r="K1304" s="294">
        <f t="shared" si="196"/>
        <v>1.8904000000000001</v>
      </c>
      <c r="L1304" s="294">
        <f t="shared" si="197"/>
        <v>0.73970436015123497</v>
      </c>
      <c r="M1304" s="309">
        <f t="shared" si="198"/>
        <v>5.6553011018439863</v>
      </c>
      <c r="N1304" s="294">
        <v>1</v>
      </c>
      <c r="O1304" s="294">
        <f t="shared" si="193"/>
        <v>5.6553011018439863</v>
      </c>
      <c r="P1304" s="294"/>
    </row>
    <row r="1305" spans="1:16">
      <c r="A1305" s="294"/>
      <c r="B1305" s="294" t="s">
        <v>386</v>
      </c>
      <c r="C1305" s="294" t="s">
        <v>388</v>
      </c>
      <c r="D1305" s="295" t="s">
        <v>1063</v>
      </c>
      <c r="E1305" s="296">
        <v>8</v>
      </c>
      <c r="F1305" s="294">
        <v>26.6</v>
      </c>
      <c r="G1305" s="308">
        <f t="shared" si="194"/>
        <v>18.353420890000002</v>
      </c>
      <c r="H1305" s="294">
        <v>212.3</v>
      </c>
      <c r="I1305" s="297"/>
      <c r="J1305" s="297"/>
      <c r="K1305" s="294">
        <f t="shared" si="196"/>
        <v>1.8615999999999999</v>
      </c>
      <c r="L1305" s="294">
        <f t="shared" si="197"/>
        <v>0.75143645769154999</v>
      </c>
      <c r="M1305" s="309">
        <f t="shared" si="198"/>
        <v>6.9437935159588937</v>
      </c>
      <c r="N1305" s="294">
        <v>1</v>
      </c>
      <c r="O1305" s="294">
        <f t="shared" si="193"/>
        <v>6.9437935159588937</v>
      </c>
      <c r="P1305" s="294"/>
    </row>
    <row r="1306" spans="1:16">
      <c r="A1306" s="294"/>
      <c r="B1306" s="294" t="s">
        <v>386</v>
      </c>
      <c r="C1306" s="294" t="s">
        <v>388</v>
      </c>
      <c r="D1306" s="295" t="s">
        <v>1063</v>
      </c>
      <c r="E1306" s="296">
        <v>9</v>
      </c>
      <c r="F1306" s="294">
        <v>22.6</v>
      </c>
      <c r="G1306" s="308">
        <f t="shared" si="194"/>
        <v>14.389581399999999</v>
      </c>
      <c r="H1306" s="294">
        <v>164</v>
      </c>
      <c r="I1306" s="297"/>
      <c r="J1306" s="297"/>
      <c r="K1306" s="294">
        <f t="shared" si="196"/>
        <v>1.9576</v>
      </c>
      <c r="L1306" s="294">
        <f t="shared" si="197"/>
        <v>0.71047016201358149</v>
      </c>
      <c r="M1306" s="309">
        <f t="shared" si="198"/>
        <v>5.0660407173773319</v>
      </c>
      <c r="N1306" s="294">
        <v>0</v>
      </c>
      <c r="O1306" s="294" t="str">
        <f t="shared" si="193"/>
        <v/>
      </c>
      <c r="P1306" s="294"/>
    </row>
    <row r="1307" spans="1:16">
      <c r="A1307" s="294"/>
      <c r="B1307" s="294" t="s">
        <v>386</v>
      </c>
      <c r="C1307" s="294" t="s">
        <v>388</v>
      </c>
      <c r="D1307" s="295" t="s">
        <v>1063</v>
      </c>
      <c r="E1307" s="296">
        <v>10</v>
      </c>
      <c r="F1307" s="294">
        <v>17.2</v>
      </c>
      <c r="G1307" s="308">
        <f t="shared" si="194"/>
        <v>14.925249870000002</v>
      </c>
      <c r="H1307" s="294">
        <v>241.9</v>
      </c>
      <c r="I1307" s="297"/>
      <c r="J1307" s="297"/>
      <c r="K1307" s="294">
        <f t="shared" si="196"/>
        <v>2.0872000000000002</v>
      </c>
      <c r="L1307" s="294">
        <f t="shared" si="197"/>
        <v>0.64708539575733404</v>
      </c>
      <c r="M1307" s="309">
        <f t="shared" si="198"/>
        <v>4.554772775507999</v>
      </c>
      <c r="N1307" s="294">
        <v>0</v>
      </c>
      <c r="O1307" s="294" t="str">
        <f t="shared" si="193"/>
        <v/>
      </c>
      <c r="P1307" s="294"/>
    </row>
    <row r="1308" spans="1:16">
      <c r="A1308" s="294"/>
      <c r="B1308" s="294" t="s">
        <v>386</v>
      </c>
      <c r="C1308" s="294" t="s">
        <v>388</v>
      </c>
      <c r="D1308" s="295" t="s">
        <v>1063</v>
      </c>
      <c r="E1308" s="296">
        <v>11</v>
      </c>
      <c r="F1308" s="294">
        <v>14.7</v>
      </c>
      <c r="G1308" s="308">
        <f t="shared" si="194"/>
        <v>7.992269910000001</v>
      </c>
      <c r="H1308" s="294">
        <v>118.7</v>
      </c>
      <c r="I1308" s="297"/>
      <c r="J1308" s="297"/>
      <c r="K1308" s="294">
        <f t="shared" si="196"/>
        <v>2.1471999999999998</v>
      </c>
      <c r="L1308" s="294">
        <f t="shared" si="197"/>
        <v>0.61495389297523528</v>
      </c>
      <c r="M1308" s="309">
        <f t="shared" si="198"/>
        <v>2.5462256744074163</v>
      </c>
      <c r="N1308" s="294">
        <v>0</v>
      </c>
      <c r="O1308" s="294" t="str">
        <f t="shared" si="193"/>
        <v/>
      </c>
      <c r="P1308" s="294"/>
    </row>
    <row r="1309" spans="1:16">
      <c r="A1309" s="294"/>
      <c r="B1309" s="294" t="s">
        <v>386</v>
      </c>
      <c r="C1309" s="294" t="s">
        <v>388</v>
      </c>
      <c r="D1309" s="295" t="s">
        <v>1063</v>
      </c>
      <c r="E1309" s="296">
        <v>12</v>
      </c>
      <c r="F1309" s="294">
        <v>8.6999999999999993</v>
      </c>
      <c r="G1309" s="308">
        <f t="shared" si="194"/>
        <v>7.1704927700000001</v>
      </c>
      <c r="H1309" s="294">
        <v>128.9</v>
      </c>
      <c r="I1309" s="297"/>
      <c r="J1309" s="297"/>
      <c r="K1309" s="294">
        <f t="shared" si="196"/>
        <v>2.2911999999999999</v>
      </c>
      <c r="L1309" s="294">
        <f t="shared" si="197"/>
        <v>0.53254372569577879</v>
      </c>
      <c r="M1309" s="309">
        <f t="shared" si="198"/>
        <v>2.0116420229583505</v>
      </c>
      <c r="N1309" s="294">
        <v>0</v>
      </c>
      <c r="O1309" s="294" t="str">
        <f t="shared" si="193"/>
        <v/>
      </c>
      <c r="P1309" s="294"/>
    </row>
    <row r="1310" spans="1:16">
      <c r="A1310" s="294">
        <v>110</v>
      </c>
      <c r="B1310" s="294" t="s">
        <v>390</v>
      </c>
      <c r="C1310" s="294" t="s">
        <v>389</v>
      </c>
      <c r="D1310" s="295" t="s">
        <v>1063</v>
      </c>
      <c r="E1310" s="296">
        <v>1</v>
      </c>
      <c r="F1310" s="294">
        <v>6.6</v>
      </c>
      <c r="G1310" s="308">
        <f t="shared" si="194"/>
        <v>1.9996768000000005</v>
      </c>
      <c r="H1310" s="308"/>
      <c r="I1310" s="306">
        <v>0.745</v>
      </c>
      <c r="J1310" s="307">
        <v>0.86</v>
      </c>
      <c r="K1310" s="294">
        <f t="shared" si="196"/>
        <v>2.3416000000000001</v>
      </c>
      <c r="L1310" s="294">
        <f t="shared" si="197"/>
        <v>0.5025819590057089</v>
      </c>
      <c r="M1310" s="309">
        <f>$I$1310*L1310*(G1310/K1310)+$J$1310</f>
        <v>1.1797497887017805</v>
      </c>
      <c r="N1310" s="294">
        <v>0</v>
      </c>
      <c r="O1310" s="294" t="str">
        <f t="shared" si="193"/>
        <v/>
      </c>
      <c r="P1310" s="294">
        <f>AVERAGE(O1310:O1321)</f>
        <v>3.5951131990848282</v>
      </c>
    </row>
    <row r="1311" spans="1:16">
      <c r="A1311" s="294"/>
      <c r="B1311" s="294" t="s">
        <v>390</v>
      </c>
      <c r="C1311" s="294" t="s">
        <v>389</v>
      </c>
      <c r="D1311" s="295" t="s">
        <v>1063</v>
      </c>
      <c r="E1311" s="296">
        <v>2</v>
      </c>
      <c r="F1311" s="294">
        <v>7</v>
      </c>
      <c r="G1311" s="308">
        <f t="shared" si="194"/>
        <v>4.4199175999999998</v>
      </c>
      <c r="H1311" s="308"/>
      <c r="I1311" s="294"/>
      <c r="J1311" s="294"/>
      <c r="K1311" s="294">
        <f t="shared" si="196"/>
        <v>2.3319999999999999</v>
      </c>
      <c r="L1311" s="294">
        <f t="shared" si="197"/>
        <v>0.50831255550801102</v>
      </c>
      <c r="M1311" s="309">
        <f t="shared" ref="M1311:M1321" si="199">$I$1310*L1311*(G1311/K1311)+$J$1310</f>
        <v>1.5777492323075351</v>
      </c>
      <c r="N1311" s="294">
        <v>0</v>
      </c>
      <c r="O1311" s="294" t="str">
        <f t="shared" si="193"/>
        <v/>
      </c>
      <c r="P1311" s="294"/>
    </row>
    <row r="1312" spans="1:16">
      <c r="A1312" s="294"/>
      <c r="B1312" s="294" t="s">
        <v>390</v>
      </c>
      <c r="C1312" s="294" t="s">
        <v>389</v>
      </c>
      <c r="D1312" s="295" t="s">
        <v>1063</v>
      </c>
      <c r="E1312" s="296">
        <v>3</v>
      </c>
      <c r="F1312" s="294">
        <v>9.9</v>
      </c>
      <c r="G1312" s="308">
        <f t="shared" si="194"/>
        <v>6.0525017000000005</v>
      </c>
      <c r="H1312" s="308"/>
      <c r="I1312" s="294"/>
      <c r="J1312" s="294"/>
      <c r="K1312" s="294">
        <f t="shared" si="196"/>
        <v>2.2624</v>
      </c>
      <c r="L1312" s="294">
        <f t="shared" si="197"/>
        <v>0.54947914156562316</v>
      </c>
      <c r="M1312" s="309">
        <f t="shared" si="199"/>
        <v>1.9551484978952236</v>
      </c>
      <c r="N1312" s="294">
        <v>0</v>
      </c>
      <c r="O1312" s="294" t="str">
        <f t="shared" si="193"/>
        <v/>
      </c>
      <c r="P1312" s="294"/>
    </row>
    <row r="1313" spans="1:16">
      <c r="A1313" s="294"/>
      <c r="B1313" s="294" t="s">
        <v>390</v>
      </c>
      <c r="C1313" s="294" t="s">
        <v>389</v>
      </c>
      <c r="D1313" s="295" t="s">
        <v>1063</v>
      </c>
      <c r="E1313" s="296">
        <v>4</v>
      </c>
      <c r="F1313" s="294">
        <v>15.6</v>
      </c>
      <c r="G1313" s="308">
        <f t="shared" si="194"/>
        <v>7.969462</v>
      </c>
      <c r="H1313" s="308"/>
      <c r="I1313" s="294"/>
      <c r="J1313" s="294"/>
      <c r="K1313" s="294">
        <f t="shared" si="196"/>
        <v>2.1255999999999999</v>
      </c>
      <c r="L1313" s="294">
        <f t="shared" si="197"/>
        <v>0.62670175707655418</v>
      </c>
      <c r="M1313" s="309">
        <f t="shared" si="199"/>
        <v>2.6105102086819478</v>
      </c>
      <c r="N1313" s="294">
        <v>0</v>
      </c>
      <c r="O1313" s="294" t="str">
        <f t="shared" si="193"/>
        <v/>
      </c>
      <c r="P1313" s="294"/>
    </row>
    <row r="1314" spans="1:16">
      <c r="A1314" s="294"/>
      <c r="B1314" s="294" t="s">
        <v>390</v>
      </c>
      <c r="C1314" s="294" t="s">
        <v>389</v>
      </c>
      <c r="D1314" s="295" t="s">
        <v>1063</v>
      </c>
      <c r="E1314" s="296">
        <v>5</v>
      </c>
      <c r="F1314" s="294">
        <v>20.8</v>
      </c>
      <c r="G1314" s="308">
        <f t="shared" si="194"/>
        <v>9.763087800000001</v>
      </c>
      <c r="H1314" s="308"/>
      <c r="I1314" s="294"/>
      <c r="J1314" s="294"/>
      <c r="K1314" s="294">
        <f t="shared" si="196"/>
        <v>2.0007999999999999</v>
      </c>
      <c r="L1314" s="294">
        <f t="shared" si="197"/>
        <v>0.69033135678862079</v>
      </c>
      <c r="M1314" s="309">
        <f t="shared" si="199"/>
        <v>3.3695588801120659</v>
      </c>
      <c r="N1314" s="294">
        <v>0</v>
      </c>
      <c r="O1314" s="294" t="str">
        <f t="shared" si="193"/>
        <v/>
      </c>
      <c r="P1314" s="294"/>
    </row>
    <row r="1315" spans="1:16">
      <c r="A1315" s="294"/>
      <c r="B1315" s="294" t="s">
        <v>390</v>
      </c>
      <c r="C1315" s="294" t="s">
        <v>389</v>
      </c>
      <c r="D1315" s="295" t="s">
        <v>1063</v>
      </c>
      <c r="E1315" s="296">
        <v>6</v>
      </c>
      <c r="F1315" s="294">
        <v>22.4</v>
      </c>
      <c r="G1315" s="308">
        <f t="shared" si="194"/>
        <v>9.8467880000000001</v>
      </c>
      <c r="H1315" s="308"/>
      <c r="I1315" s="294"/>
      <c r="J1315" s="294"/>
      <c r="K1315" s="294">
        <f t="shared" si="196"/>
        <v>1.9624000000000001</v>
      </c>
      <c r="L1315" s="294">
        <f t="shared" si="197"/>
        <v>0.70828368713210621</v>
      </c>
      <c r="M1315" s="309">
        <f t="shared" si="199"/>
        <v>3.5077109084441966</v>
      </c>
      <c r="N1315" s="294">
        <v>0</v>
      </c>
      <c r="O1315" s="294" t="str">
        <f t="shared" si="193"/>
        <v/>
      </c>
      <c r="P1315" s="294"/>
    </row>
    <row r="1316" spans="1:16">
      <c r="A1316" s="294"/>
      <c r="B1316" s="294" t="s">
        <v>390</v>
      </c>
      <c r="C1316" s="294" t="s">
        <v>389</v>
      </c>
      <c r="D1316" s="295" t="s">
        <v>1063</v>
      </c>
      <c r="E1316" s="296">
        <v>7</v>
      </c>
      <c r="F1316" s="294">
        <v>25.9</v>
      </c>
      <c r="G1316" s="308">
        <f t="shared" si="194"/>
        <v>9.446059</v>
      </c>
      <c r="H1316" s="308"/>
      <c r="I1316" s="294"/>
      <c r="J1316" s="294"/>
      <c r="K1316" s="294">
        <f t="shared" si="196"/>
        <v>1.8784000000000001</v>
      </c>
      <c r="L1316" s="294">
        <f t="shared" si="197"/>
        <v>0.7446511958168045</v>
      </c>
      <c r="M1316" s="309">
        <f t="shared" si="199"/>
        <v>3.6497914458736349</v>
      </c>
      <c r="N1316" s="294">
        <v>1</v>
      </c>
      <c r="O1316" s="294">
        <f t="shared" si="193"/>
        <v>3.6497914458736349</v>
      </c>
      <c r="P1316" s="294"/>
    </row>
    <row r="1317" spans="1:16">
      <c r="A1317" s="294"/>
      <c r="B1317" s="294" t="s">
        <v>390</v>
      </c>
      <c r="C1317" s="294" t="s">
        <v>389</v>
      </c>
      <c r="D1317" s="295" t="s">
        <v>1063</v>
      </c>
      <c r="E1317" s="296">
        <v>8</v>
      </c>
      <c r="F1317" s="294">
        <v>27.6</v>
      </c>
      <c r="G1317" s="308">
        <f t="shared" si="194"/>
        <v>8.6896734999999996</v>
      </c>
      <c r="H1317" s="308"/>
      <c r="I1317" s="294"/>
      <c r="J1317" s="294"/>
      <c r="K1317" s="294">
        <f t="shared" si="196"/>
        <v>1.8375999999999999</v>
      </c>
      <c r="L1317" s="294">
        <f t="shared" si="197"/>
        <v>0.76084558171787064</v>
      </c>
      <c r="M1317" s="309">
        <f t="shared" si="199"/>
        <v>3.5404349522960215</v>
      </c>
      <c r="N1317" s="294">
        <v>1</v>
      </c>
      <c r="O1317" s="294">
        <f t="shared" si="193"/>
        <v>3.5404349522960215</v>
      </c>
      <c r="P1317" s="294"/>
    </row>
    <row r="1318" spans="1:16">
      <c r="A1318" s="294"/>
      <c r="B1318" s="294" t="s">
        <v>390</v>
      </c>
      <c r="C1318" s="294" t="s">
        <v>389</v>
      </c>
      <c r="D1318" s="295" t="s">
        <v>1063</v>
      </c>
      <c r="E1318" s="296">
        <v>9</v>
      </c>
      <c r="F1318" s="294">
        <v>23.2</v>
      </c>
      <c r="G1318" s="308">
        <f t="shared" si="194"/>
        <v>6.9244161999999996</v>
      </c>
      <c r="H1318" s="308"/>
      <c r="I1318" s="294"/>
      <c r="J1318" s="294"/>
      <c r="K1318" s="294">
        <f t="shared" si="196"/>
        <v>1.9432</v>
      </c>
      <c r="L1318" s="294">
        <f t="shared" si="197"/>
        <v>0.71695168352445504</v>
      </c>
      <c r="M1318" s="309">
        <f t="shared" si="199"/>
        <v>2.7633200544207681</v>
      </c>
      <c r="N1318" s="294">
        <v>0</v>
      </c>
      <c r="O1318" s="294" t="str">
        <f t="shared" si="193"/>
        <v/>
      </c>
      <c r="P1318" s="294"/>
    </row>
    <row r="1319" spans="1:16">
      <c r="A1319" s="294"/>
      <c r="B1319" s="294" t="s">
        <v>390</v>
      </c>
      <c r="C1319" s="294" t="s">
        <v>389</v>
      </c>
      <c r="D1319" s="295" t="s">
        <v>1063</v>
      </c>
      <c r="E1319" s="296">
        <v>10</v>
      </c>
      <c r="F1319" s="294">
        <v>18.899999999999999</v>
      </c>
      <c r="G1319" s="308">
        <f t="shared" si="194"/>
        <v>3.9141311999999999</v>
      </c>
      <c r="H1319" s="308"/>
      <c r="I1319" s="294"/>
      <c r="J1319" s="294"/>
      <c r="K1319" s="294">
        <f t="shared" si="196"/>
        <v>2.0464000000000002</v>
      </c>
      <c r="L1319" s="294">
        <f t="shared" si="197"/>
        <v>0.66798094574788913</v>
      </c>
      <c r="M1319" s="309">
        <f t="shared" si="199"/>
        <v>1.8118427337100289</v>
      </c>
      <c r="N1319" s="294">
        <v>0</v>
      </c>
      <c r="O1319" s="294" t="str">
        <f t="shared" si="193"/>
        <v/>
      </c>
      <c r="P1319" s="294"/>
    </row>
    <row r="1320" spans="1:16">
      <c r="A1320" s="294"/>
      <c r="B1320" s="294" t="s">
        <v>390</v>
      </c>
      <c r="C1320" s="294" t="s">
        <v>389</v>
      </c>
      <c r="D1320" s="295" t="s">
        <v>1063</v>
      </c>
      <c r="E1320" s="296">
        <v>11</v>
      </c>
      <c r="F1320" s="294">
        <v>15.3</v>
      </c>
      <c r="G1320" s="308">
        <f t="shared" si="194"/>
        <v>2.5891289999999998</v>
      </c>
      <c r="H1320" s="308"/>
      <c r="I1320" s="294"/>
      <c r="J1320" s="294"/>
      <c r="K1320" s="294">
        <f t="shared" si="196"/>
        <v>2.1328</v>
      </c>
      <c r="L1320" s="294">
        <f t="shared" si="197"/>
        <v>0.62280743428728291</v>
      </c>
      <c r="M1320" s="309">
        <f t="shared" si="199"/>
        <v>1.4232661047444461</v>
      </c>
      <c r="N1320" s="294">
        <v>0</v>
      </c>
      <c r="O1320" s="294" t="str">
        <f t="shared" si="193"/>
        <v/>
      </c>
      <c r="P1320" s="294"/>
    </row>
    <row r="1321" spans="1:16">
      <c r="A1321" s="294"/>
      <c r="B1321" s="294" t="s">
        <v>390</v>
      </c>
      <c r="C1321" s="294" t="s">
        <v>389</v>
      </c>
      <c r="D1321" s="295" t="s">
        <v>1063</v>
      </c>
      <c r="E1321" s="296">
        <v>12</v>
      </c>
      <c r="F1321" s="294">
        <v>10.5</v>
      </c>
      <c r="G1321" s="308">
        <f t="shared" si="194"/>
        <v>1.3030549999999996</v>
      </c>
      <c r="H1321" s="308"/>
      <c r="I1321" s="294"/>
      <c r="J1321" s="294"/>
      <c r="K1321" s="294">
        <f t="shared" si="196"/>
        <v>2.2480000000000002</v>
      </c>
      <c r="L1321" s="294">
        <f t="shared" si="197"/>
        <v>0.55787898239898637</v>
      </c>
      <c r="M1321" s="309">
        <f t="shared" si="199"/>
        <v>1.1009143741416296</v>
      </c>
      <c r="N1321" s="294">
        <v>0</v>
      </c>
      <c r="O1321" s="294" t="str">
        <f t="shared" si="193"/>
        <v/>
      </c>
      <c r="P1321" s="294"/>
    </row>
    <row r="1322" spans="1:16">
      <c r="A1322" s="294">
        <v>111</v>
      </c>
      <c r="B1322" s="294" t="s">
        <v>392</v>
      </c>
      <c r="C1322" s="294" t="s">
        <v>393</v>
      </c>
      <c r="D1322" s="295" t="s">
        <v>1065</v>
      </c>
      <c r="E1322" s="296">
        <v>1</v>
      </c>
      <c r="F1322" s="294">
        <v>6.3</v>
      </c>
      <c r="G1322" s="294">
        <v>8.1</v>
      </c>
      <c r="H1322" s="294"/>
      <c r="I1322" s="294">
        <v>0.75800000000000001</v>
      </c>
      <c r="J1322" s="294">
        <v>0.73</v>
      </c>
      <c r="K1322" s="294">
        <f t="shared" si="196"/>
        <v>2.3487999999999998</v>
      </c>
      <c r="L1322" s="294">
        <f t="shared" si="197"/>
        <v>0.4982788821546576</v>
      </c>
      <c r="M1322" s="297">
        <f>$I$1322*L1322*(G1322/K1322)+$J$1322</f>
        <v>2.0325088047739985</v>
      </c>
      <c r="N1322" s="294">
        <v>0</v>
      </c>
      <c r="O1322" s="294" t="str">
        <f t="shared" si="193"/>
        <v/>
      </c>
      <c r="P1322" s="294">
        <f>AVERAGE(O1322:O1333)</f>
        <v>5.9955205504763418</v>
      </c>
    </row>
    <row r="1323" spans="1:16">
      <c r="A1323" s="294"/>
      <c r="B1323" s="294" t="s">
        <v>392</v>
      </c>
      <c r="C1323" s="294" t="s">
        <v>393</v>
      </c>
      <c r="D1323" s="295" t="s">
        <v>1065</v>
      </c>
      <c r="E1323" s="296">
        <v>2</v>
      </c>
      <c r="F1323" s="294">
        <v>6.5</v>
      </c>
      <c r="G1323" s="294">
        <v>11.2</v>
      </c>
      <c r="H1323" s="294"/>
      <c r="I1323" s="294"/>
      <c r="J1323" s="294"/>
      <c r="K1323" s="294">
        <f t="shared" si="196"/>
        <v>2.3439999999999999</v>
      </c>
      <c r="L1323" s="294">
        <f t="shared" si="197"/>
        <v>0.50114804539465463</v>
      </c>
      <c r="M1323" s="297">
        <f t="shared" ref="M1323:M1333" si="200">$I$1322*L1323*(G1323/K1323)+$J$1322</f>
        <v>2.5450795418867149</v>
      </c>
      <c r="N1323" s="294">
        <v>0</v>
      </c>
      <c r="O1323" s="294" t="str">
        <f t="shared" si="193"/>
        <v/>
      </c>
      <c r="P1323" s="294"/>
    </row>
    <row r="1324" spans="1:16">
      <c r="A1324" s="294"/>
      <c r="B1324" s="294" t="s">
        <v>392</v>
      </c>
      <c r="C1324" s="294" t="s">
        <v>393</v>
      </c>
      <c r="D1324" s="295" t="s">
        <v>1065</v>
      </c>
      <c r="E1324" s="296">
        <v>3</v>
      </c>
      <c r="F1324" s="294">
        <v>9.5</v>
      </c>
      <c r="G1324" s="294">
        <v>13.5</v>
      </c>
      <c r="H1324" s="294"/>
      <c r="I1324" s="294"/>
      <c r="J1324" s="294"/>
      <c r="K1324" s="294">
        <f t="shared" si="196"/>
        <v>2.2719999999999998</v>
      </c>
      <c r="L1324" s="294">
        <f t="shared" si="197"/>
        <v>0.54385283124797501</v>
      </c>
      <c r="M1324" s="297">
        <f t="shared" si="200"/>
        <v>3.1794920872185428</v>
      </c>
      <c r="N1324" s="294">
        <v>0</v>
      </c>
      <c r="O1324" s="294" t="str">
        <f t="shared" si="193"/>
        <v/>
      </c>
      <c r="P1324" s="294"/>
    </row>
    <row r="1325" spans="1:16">
      <c r="A1325" s="294"/>
      <c r="B1325" s="294" t="s">
        <v>392</v>
      </c>
      <c r="C1325" s="294" t="s">
        <v>393</v>
      </c>
      <c r="D1325" s="295" t="s">
        <v>1065</v>
      </c>
      <c r="E1325" s="296">
        <v>4</v>
      </c>
      <c r="F1325" s="294">
        <v>15.4</v>
      </c>
      <c r="G1325" s="294">
        <v>14.8</v>
      </c>
      <c r="H1325" s="294"/>
      <c r="I1325" s="294"/>
      <c r="J1325" s="294"/>
      <c r="K1325" s="294">
        <f t="shared" si="196"/>
        <v>2.1303999999999998</v>
      </c>
      <c r="L1325" s="294">
        <f t="shared" si="197"/>
        <v>0.62410798525255673</v>
      </c>
      <c r="M1325" s="297">
        <f t="shared" si="200"/>
        <v>4.0164687484778838</v>
      </c>
      <c r="N1325" s="294">
        <v>0</v>
      </c>
      <c r="O1325" s="294" t="str">
        <f t="shared" si="193"/>
        <v/>
      </c>
      <c r="P1325" s="294"/>
    </row>
    <row r="1326" spans="1:16">
      <c r="A1326" s="294"/>
      <c r="B1326" s="294" t="s">
        <v>392</v>
      </c>
      <c r="C1326" s="294" t="s">
        <v>393</v>
      </c>
      <c r="D1326" s="295" t="s">
        <v>1065</v>
      </c>
      <c r="E1326" s="296">
        <v>5</v>
      </c>
      <c r="F1326" s="294">
        <v>21</v>
      </c>
      <c r="G1326" s="294">
        <v>21.3</v>
      </c>
      <c r="H1326" s="294"/>
      <c r="I1326" s="294"/>
      <c r="J1326" s="294"/>
      <c r="K1326" s="294">
        <f t="shared" si="196"/>
        <v>1.996</v>
      </c>
      <c r="L1326" s="294">
        <f t="shared" si="197"/>
        <v>0.69261966250512974</v>
      </c>
      <c r="M1326" s="297">
        <f t="shared" si="200"/>
        <v>6.332515781067297</v>
      </c>
      <c r="N1326" s="294">
        <v>0</v>
      </c>
      <c r="O1326" s="294" t="str">
        <f t="shared" si="193"/>
        <v/>
      </c>
      <c r="P1326" s="294"/>
    </row>
    <row r="1327" spans="1:16">
      <c r="A1327" s="294"/>
      <c r="B1327" s="294" t="s">
        <v>392</v>
      </c>
      <c r="C1327" s="294" t="s">
        <v>393</v>
      </c>
      <c r="D1327" s="295" t="s">
        <v>1065</v>
      </c>
      <c r="E1327" s="296">
        <v>6</v>
      </c>
      <c r="F1327" s="294">
        <v>22.5</v>
      </c>
      <c r="G1327" s="294">
        <v>15.7</v>
      </c>
      <c r="H1327" s="294"/>
      <c r="I1327" s="294"/>
      <c r="J1327" s="294"/>
      <c r="K1327" s="294">
        <f t="shared" si="196"/>
        <v>1.96</v>
      </c>
      <c r="L1327" s="294">
        <f t="shared" si="197"/>
        <v>0.70937854133350386</v>
      </c>
      <c r="M1327" s="297">
        <f t="shared" si="200"/>
        <v>5.037158300506885</v>
      </c>
      <c r="N1327" s="294">
        <v>0</v>
      </c>
      <c r="O1327" s="294" t="str">
        <f t="shared" si="193"/>
        <v/>
      </c>
      <c r="P1327" s="294"/>
    </row>
    <row r="1328" spans="1:16">
      <c r="A1328" s="294"/>
      <c r="B1328" s="294" t="s">
        <v>392</v>
      </c>
      <c r="C1328" s="294" t="s">
        <v>393</v>
      </c>
      <c r="D1328" s="295" t="s">
        <v>1065</v>
      </c>
      <c r="E1328" s="296">
        <v>7</v>
      </c>
      <c r="F1328" s="294">
        <v>26.7</v>
      </c>
      <c r="G1328" s="294">
        <v>16.2</v>
      </c>
      <c r="H1328" s="294"/>
      <c r="I1328" s="294"/>
      <c r="J1328" s="294"/>
      <c r="K1328" s="294">
        <f t="shared" si="196"/>
        <v>1.8592</v>
      </c>
      <c r="L1328" s="294">
        <f t="shared" si="197"/>
        <v>0.75239240916315608</v>
      </c>
      <c r="M1328" s="297">
        <f t="shared" si="200"/>
        <v>5.6993835131023509</v>
      </c>
      <c r="N1328" s="294">
        <v>1</v>
      </c>
      <c r="O1328" s="294">
        <f t="shared" si="193"/>
        <v>5.6993835131023509</v>
      </c>
      <c r="P1328" s="294"/>
    </row>
    <row r="1329" spans="1:16">
      <c r="A1329" s="294"/>
      <c r="B1329" s="294" t="s">
        <v>392</v>
      </c>
      <c r="C1329" s="294" t="s">
        <v>393</v>
      </c>
      <c r="D1329" s="295" t="s">
        <v>1065</v>
      </c>
      <c r="E1329" s="296">
        <v>8</v>
      </c>
      <c r="F1329" s="294">
        <v>28.1</v>
      </c>
      <c r="G1329" s="294">
        <v>17.5</v>
      </c>
      <c r="H1329" s="294"/>
      <c r="I1329" s="294"/>
      <c r="J1329" s="294"/>
      <c r="K1329" s="294">
        <f t="shared" si="196"/>
        <v>1.8256000000000001</v>
      </c>
      <c r="L1329" s="294">
        <f t="shared" si="197"/>
        <v>0.7654249598476871</v>
      </c>
      <c r="M1329" s="297">
        <f t="shared" si="200"/>
        <v>6.2916575878503327</v>
      </c>
      <c r="N1329" s="294">
        <v>1</v>
      </c>
      <c r="O1329" s="294">
        <f t="shared" si="193"/>
        <v>6.2916575878503327</v>
      </c>
      <c r="P1329" s="294"/>
    </row>
    <row r="1330" spans="1:16">
      <c r="A1330" s="294"/>
      <c r="B1330" s="294" t="s">
        <v>392</v>
      </c>
      <c r="C1330" s="294" t="s">
        <v>393</v>
      </c>
      <c r="D1330" s="295" t="s">
        <v>1065</v>
      </c>
      <c r="E1330" s="296">
        <v>9</v>
      </c>
      <c r="F1330" s="294">
        <v>23.1</v>
      </c>
      <c r="G1330" s="294">
        <v>13.1</v>
      </c>
      <c r="H1330" s="294"/>
      <c r="I1330" s="294"/>
      <c r="J1330" s="294"/>
      <c r="K1330" s="294">
        <f t="shared" si="196"/>
        <v>1.9456</v>
      </c>
      <c r="L1330" s="294">
        <f t="shared" si="197"/>
        <v>0.71587957464624719</v>
      </c>
      <c r="M1330" s="297">
        <f t="shared" si="200"/>
        <v>4.3836497740143425</v>
      </c>
      <c r="N1330" s="294">
        <v>0</v>
      </c>
      <c r="O1330" s="294" t="str">
        <f t="shared" si="193"/>
        <v/>
      </c>
      <c r="P1330" s="294"/>
    </row>
    <row r="1331" spans="1:16">
      <c r="A1331" s="294"/>
      <c r="B1331" s="294" t="s">
        <v>392</v>
      </c>
      <c r="C1331" s="294" t="s">
        <v>393</v>
      </c>
      <c r="D1331" s="295" t="s">
        <v>1065</v>
      </c>
      <c r="E1331" s="296">
        <v>10</v>
      </c>
      <c r="F1331" s="294">
        <v>18.399999999999999</v>
      </c>
      <c r="G1331" s="294">
        <v>14.5</v>
      </c>
      <c r="H1331" s="294"/>
      <c r="I1331" s="294"/>
      <c r="J1331" s="294"/>
      <c r="K1331" s="294">
        <f t="shared" si="196"/>
        <v>2.0583999999999998</v>
      </c>
      <c r="L1331" s="294">
        <f t="shared" si="197"/>
        <v>0.66192047983258717</v>
      </c>
      <c r="M1331" s="297">
        <f t="shared" si="200"/>
        <v>4.2643800980567264</v>
      </c>
      <c r="N1331" s="294">
        <v>0</v>
      </c>
      <c r="O1331" s="294" t="str">
        <f t="shared" si="193"/>
        <v/>
      </c>
      <c r="P1331" s="294"/>
    </row>
    <row r="1332" spans="1:16">
      <c r="A1332" s="294"/>
      <c r="B1332" s="294" t="s">
        <v>392</v>
      </c>
      <c r="C1332" s="294" t="s">
        <v>393</v>
      </c>
      <c r="D1332" s="295" t="s">
        <v>1065</v>
      </c>
      <c r="E1332" s="296">
        <v>11</v>
      </c>
      <c r="F1332" s="294">
        <v>15</v>
      </c>
      <c r="G1332" s="294">
        <v>7.3</v>
      </c>
      <c r="H1332" s="294"/>
      <c r="I1332" s="294"/>
      <c r="J1332" s="294"/>
      <c r="K1332" s="294">
        <f t="shared" si="196"/>
        <v>2.14</v>
      </c>
      <c r="L1332" s="294">
        <f t="shared" si="197"/>
        <v>0.61889132462533447</v>
      </c>
      <c r="M1332" s="297">
        <f t="shared" si="200"/>
        <v>2.3302678764868343</v>
      </c>
      <c r="N1332" s="294">
        <v>0</v>
      </c>
      <c r="O1332" s="294" t="str">
        <f t="shared" si="193"/>
        <v/>
      </c>
      <c r="P1332" s="294"/>
    </row>
    <row r="1333" spans="1:16">
      <c r="A1333" s="294"/>
      <c r="B1333" s="294" t="s">
        <v>392</v>
      </c>
      <c r="C1333" s="294" t="s">
        <v>393</v>
      </c>
      <c r="D1333" s="295" t="s">
        <v>1065</v>
      </c>
      <c r="E1333" s="296">
        <v>12</v>
      </c>
      <c r="F1333" s="294">
        <v>9.9</v>
      </c>
      <c r="G1333" s="294">
        <v>7.8</v>
      </c>
      <c r="H1333" s="294"/>
      <c r="I1333" s="294"/>
      <c r="J1333" s="294"/>
      <c r="K1333" s="294">
        <f t="shared" si="196"/>
        <v>2.2624</v>
      </c>
      <c r="L1333" s="294">
        <f t="shared" si="197"/>
        <v>0.54947914156562316</v>
      </c>
      <c r="M1333" s="297">
        <f t="shared" si="200"/>
        <v>2.1659708612944617</v>
      </c>
      <c r="N1333" s="294">
        <v>0</v>
      </c>
      <c r="O1333" s="294" t="str">
        <f t="shared" si="193"/>
        <v/>
      </c>
      <c r="P1333" s="294"/>
    </row>
    <row r="1334" spans="1:16">
      <c r="A1334" s="294">
        <v>112</v>
      </c>
      <c r="B1334" s="294" t="s">
        <v>392</v>
      </c>
      <c r="C1334" s="294" t="s">
        <v>607</v>
      </c>
      <c r="D1334" s="295" t="s">
        <v>1065</v>
      </c>
      <c r="E1334" s="296">
        <v>1</v>
      </c>
      <c r="F1334" s="294">
        <v>6.6</v>
      </c>
      <c r="G1334" s="308">
        <f t="shared" ref="G1334:G1345" si="201">$T$11+$T$12*H1334+INDEX($T$13:$T$24,MATCH(E1334,$S$13:$S$24,0),1)</f>
        <v>8.0947110699999989</v>
      </c>
      <c r="H1334" s="294">
        <v>133.9</v>
      </c>
      <c r="I1334" s="306">
        <v>0.71699999999999997</v>
      </c>
      <c r="J1334" s="307">
        <v>0.16</v>
      </c>
      <c r="K1334" s="294">
        <f t="shared" si="196"/>
        <v>2.3416000000000001</v>
      </c>
      <c r="L1334" s="294">
        <f t="shared" si="197"/>
        <v>0.5025819590057089</v>
      </c>
      <c r="M1334" s="309">
        <f>$I$1334*L1334*(G1334/K1334)+$J$1334</f>
        <v>1.4057035235324291</v>
      </c>
      <c r="N1334" s="294">
        <v>0</v>
      </c>
      <c r="O1334" s="294" t="str">
        <f t="shared" si="193"/>
        <v/>
      </c>
      <c r="P1334" s="294">
        <f>AVERAGE(O1334:O1345)</f>
        <v>5.3148419963207978</v>
      </c>
    </row>
    <row r="1335" spans="1:16">
      <c r="A1335" s="294"/>
      <c r="B1335" s="294" t="s">
        <v>392</v>
      </c>
      <c r="C1335" s="294" t="s">
        <v>607</v>
      </c>
      <c r="D1335" s="295" t="s">
        <v>1065</v>
      </c>
      <c r="E1335" s="296">
        <v>2</v>
      </c>
      <c r="F1335" s="294">
        <v>6.6</v>
      </c>
      <c r="G1335" s="308">
        <f t="shared" si="201"/>
        <v>11.593759279999999</v>
      </c>
      <c r="H1335" s="294">
        <v>157.6</v>
      </c>
      <c r="I1335" s="297"/>
      <c r="J1335" s="297"/>
      <c r="K1335" s="294">
        <f t="shared" si="196"/>
        <v>2.3416000000000001</v>
      </c>
      <c r="L1335" s="294">
        <f t="shared" si="197"/>
        <v>0.5025819590057089</v>
      </c>
      <c r="M1335" s="309">
        <f t="shared" ref="M1335:M1345" si="202">$I$1334*L1335*(G1335/K1335)+$J$1334</f>
        <v>1.9441756995636412</v>
      </c>
      <c r="N1335" s="294">
        <v>0</v>
      </c>
      <c r="O1335" s="294" t="str">
        <f t="shared" si="193"/>
        <v/>
      </c>
      <c r="P1335" s="294"/>
    </row>
    <row r="1336" spans="1:16">
      <c r="A1336" s="294"/>
      <c r="B1336" s="294" t="s">
        <v>392</v>
      </c>
      <c r="C1336" s="294" t="s">
        <v>607</v>
      </c>
      <c r="D1336" s="295" t="s">
        <v>1065</v>
      </c>
      <c r="E1336" s="296">
        <v>3</v>
      </c>
      <c r="F1336" s="294">
        <v>9.1999999999999993</v>
      </c>
      <c r="G1336" s="308">
        <f t="shared" si="201"/>
        <v>14.550955009999999</v>
      </c>
      <c r="H1336" s="294">
        <v>186.7</v>
      </c>
      <c r="I1336" s="297"/>
      <c r="J1336" s="297"/>
      <c r="K1336" s="294">
        <f t="shared" si="196"/>
        <v>2.2791999999999999</v>
      </c>
      <c r="L1336" s="294">
        <f t="shared" si="197"/>
        <v>0.53962031736309635</v>
      </c>
      <c r="M1336" s="309">
        <f t="shared" si="202"/>
        <v>2.6301112314101376</v>
      </c>
      <c r="N1336" s="294">
        <v>0</v>
      </c>
      <c r="O1336" s="294" t="str">
        <f t="shared" si="193"/>
        <v/>
      </c>
      <c r="P1336" s="294"/>
    </row>
    <row r="1337" spans="1:16">
      <c r="A1337" s="294"/>
      <c r="B1337" s="294" t="s">
        <v>392</v>
      </c>
      <c r="C1337" s="294" t="s">
        <v>607</v>
      </c>
      <c r="D1337" s="295" t="s">
        <v>1065</v>
      </c>
      <c r="E1337" s="296">
        <v>4</v>
      </c>
      <c r="F1337" s="294">
        <v>14.8</v>
      </c>
      <c r="G1337" s="308">
        <f t="shared" si="201"/>
        <v>14.915707179999998</v>
      </c>
      <c r="H1337" s="294">
        <v>152.6</v>
      </c>
      <c r="I1337" s="297"/>
      <c r="J1337" s="297"/>
      <c r="K1337" s="294">
        <f t="shared" si="196"/>
        <v>2.1448</v>
      </c>
      <c r="L1337" s="294">
        <f t="shared" si="197"/>
        <v>0.61626871010483331</v>
      </c>
      <c r="M1337" s="309">
        <f t="shared" si="202"/>
        <v>3.23288509814157</v>
      </c>
      <c r="N1337" s="294">
        <v>0</v>
      </c>
      <c r="O1337" s="294" t="str">
        <f t="shared" si="193"/>
        <v/>
      </c>
      <c r="P1337" s="294"/>
    </row>
    <row r="1338" spans="1:16">
      <c r="A1338" s="294"/>
      <c r="B1338" s="294" t="s">
        <v>392</v>
      </c>
      <c r="C1338" s="294" t="s">
        <v>607</v>
      </c>
      <c r="D1338" s="295" t="s">
        <v>1065</v>
      </c>
      <c r="E1338" s="296">
        <v>5</v>
      </c>
      <c r="F1338" s="294">
        <v>20.100000000000001</v>
      </c>
      <c r="G1338" s="308">
        <f t="shared" si="201"/>
        <v>21.092841570000001</v>
      </c>
      <c r="H1338" s="294">
        <v>248.9</v>
      </c>
      <c r="I1338" s="297"/>
      <c r="J1338" s="297"/>
      <c r="K1338" s="294">
        <f t="shared" si="196"/>
        <v>2.0175999999999998</v>
      </c>
      <c r="L1338" s="294">
        <f t="shared" si="197"/>
        <v>0.68222457536345948</v>
      </c>
      <c r="M1338" s="309">
        <f t="shared" si="202"/>
        <v>5.2738329457412361</v>
      </c>
      <c r="N1338" s="294">
        <v>0</v>
      </c>
      <c r="O1338" s="294" t="str">
        <f t="shared" si="193"/>
        <v/>
      </c>
      <c r="P1338" s="294"/>
    </row>
    <row r="1339" spans="1:16">
      <c r="A1339" s="294"/>
      <c r="B1339" s="294" t="s">
        <v>392</v>
      </c>
      <c r="C1339" s="294" t="s">
        <v>607</v>
      </c>
      <c r="D1339" s="295" t="s">
        <v>1065</v>
      </c>
      <c r="E1339" s="296">
        <v>6</v>
      </c>
      <c r="F1339" s="294">
        <v>21.8</v>
      </c>
      <c r="G1339" s="308">
        <f t="shared" si="201"/>
        <v>16.183074560000001</v>
      </c>
      <c r="H1339" s="294">
        <v>139.19999999999999</v>
      </c>
      <c r="I1339" s="297"/>
      <c r="J1339" s="297"/>
      <c r="K1339" s="294">
        <f t="shared" si="196"/>
        <v>1.9767999999999999</v>
      </c>
      <c r="L1339" s="294">
        <f t="shared" si="197"/>
        <v>0.70164698620294608</v>
      </c>
      <c r="M1339" s="309">
        <f t="shared" si="202"/>
        <v>4.27847204478853</v>
      </c>
      <c r="N1339" s="294">
        <v>0</v>
      </c>
      <c r="O1339" s="294" t="str">
        <f t="shared" si="193"/>
        <v/>
      </c>
      <c r="P1339" s="294"/>
    </row>
    <row r="1340" spans="1:16">
      <c r="A1340" s="294"/>
      <c r="B1340" s="294" t="s">
        <v>392</v>
      </c>
      <c r="C1340" s="294" t="s">
        <v>607</v>
      </c>
      <c r="D1340" s="295" t="s">
        <v>1065</v>
      </c>
      <c r="E1340" s="296">
        <v>7</v>
      </c>
      <c r="F1340" s="294">
        <v>26.2</v>
      </c>
      <c r="G1340" s="308">
        <f t="shared" si="201"/>
        <v>17.120612979999997</v>
      </c>
      <c r="H1340" s="294">
        <v>168.6</v>
      </c>
      <c r="I1340" s="297"/>
      <c r="J1340" s="297"/>
      <c r="K1340" s="294">
        <f t="shared" si="196"/>
        <v>1.8712</v>
      </c>
      <c r="L1340" s="294">
        <f t="shared" si="197"/>
        <v>0.74757921999786014</v>
      </c>
      <c r="M1340" s="309">
        <f t="shared" si="202"/>
        <v>5.0642824896796697</v>
      </c>
      <c r="N1340" s="294">
        <v>1</v>
      </c>
      <c r="O1340" s="294">
        <f t="shared" si="193"/>
        <v>5.0642824896796697</v>
      </c>
      <c r="P1340" s="294"/>
    </row>
    <row r="1341" spans="1:16">
      <c r="A1341" s="294"/>
      <c r="B1341" s="294" t="s">
        <v>392</v>
      </c>
      <c r="C1341" s="294" t="s">
        <v>607</v>
      </c>
      <c r="D1341" s="295" t="s">
        <v>1065</v>
      </c>
      <c r="E1341" s="296">
        <v>8</v>
      </c>
      <c r="F1341" s="294">
        <v>27.7</v>
      </c>
      <c r="G1341" s="308">
        <f t="shared" si="201"/>
        <v>18.162239830000001</v>
      </c>
      <c r="H1341" s="294">
        <v>208.1</v>
      </c>
      <c r="I1341" s="297"/>
      <c r="J1341" s="297"/>
      <c r="K1341" s="294">
        <f t="shared" si="196"/>
        <v>1.8351999999999999</v>
      </c>
      <c r="L1341" s="294">
        <f t="shared" si="197"/>
        <v>0.76176812576694797</v>
      </c>
      <c r="M1341" s="309">
        <f t="shared" si="202"/>
        <v>5.5654015029619268</v>
      </c>
      <c r="N1341" s="294">
        <v>1</v>
      </c>
      <c r="O1341" s="294">
        <f t="shared" si="193"/>
        <v>5.5654015029619268</v>
      </c>
      <c r="P1341" s="294"/>
    </row>
    <row r="1342" spans="1:16">
      <c r="A1342" s="294"/>
      <c r="B1342" s="294" t="s">
        <v>392</v>
      </c>
      <c r="C1342" s="294" t="s">
        <v>607</v>
      </c>
      <c r="D1342" s="295" t="s">
        <v>1065</v>
      </c>
      <c r="E1342" s="296">
        <v>9</v>
      </c>
      <c r="F1342" s="294">
        <v>22.9</v>
      </c>
      <c r="G1342" s="308">
        <f t="shared" si="201"/>
        <v>13.697688039999999</v>
      </c>
      <c r="H1342" s="294">
        <v>148.80000000000001</v>
      </c>
      <c r="I1342" s="297"/>
      <c r="J1342" s="297"/>
      <c r="K1342" s="294">
        <f t="shared" si="196"/>
        <v>1.9504000000000001</v>
      </c>
      <c r="L1342" s="294">
        <f t="shared" si="197"/>
        <v>0.71372556847664814</v>
      </c>
      <c r="M1342" s="309">
        <f t="shared" si="202"/>
        <v>3.7539662435034606</v>
      </c>
      <c r="N1342" s="294">
        <v>0</v>
      </c>
      <c r="O1342" s="294" t="str">
        <f t="shared" si="193"/>
        <v/>
      </c>
      <c r="P1342" s="294"/>
    </row>
    <row r="1343" spans="1:16">
      <c r="A1343" s="294"/>
      <c r="B1343" s="294" t="s">
        <v>392</v>
      </c>
      <c r="C1343" s="294" t="s">
        <v>607</v>
      </c>
      <c r="D1343" s="295" t="s">
        <v>1065</v>
      </c>
      <c r="E1343" s="296">
        <v>10</v>
      </c>
      <c r="F1343" s="294">
        <v>18.399999999999999</v>
      </c>
      <c r="G1343" s="308">
        <f t="shared" si="201"/>
        <v>15.143742509999999</v>
      </c>
      <c r="H1343" s="294">
        <v>246.7</v>
      </c>
      <c r="I1343" s="297"/>
      <c r="J1343" s="297"/>
      <c r="K1343" s="294">
        <f t="shared" si="196"/>
        <v>2.0583999999999998</v>
      </c>
      <c r="L1343" s="294">
        <f t="shared" si="197"/>
        <v>0.66192047983258717</v>
      </c>
      <c r="M1343" s="309">
        <f t="shared" si="202"/>
        <v>3.6516316179186794</v>
      </c>
      <c r="N1343" s="294">
        <v>0</v>
      </c>
      <c r="O1343" s="294" t="str">
        <f t="shared" si="193"/>
        <v/>
      </c>
      <c r="P1343" s="294"/>
    </row>
    <row r="1344" spans="1:16">
      <c r="A1344" s="294"/>
      <c r="B1344" s="294" t="s">
        <v>392</v>
      </c>
      <c r="C1344" s="294" t="s">
        <v>607</v>
      </c>
      <c r="D1344" s="295" t="s">
        <v>1065</v>
      </c>
      <c r="E1344" s="296">
        <v>11</v>
      </c>
      <c r="F1344" s="294">
        <v>15</v>
      </c>
      <c r="G1344" s="308">
        <f t="shared" si="201"/>
        <v>7.2776168999999999</v>
      </c>
      <c r="H1344" s="294">
        <v>103</v>
      </c>
      <c r="I1344" s="297"/>
      <c r="J1344" s="297"/>
      <c r="K1344" s="294">
        <f t="shared" si="196"/>
        <v>2.14</v>
      </c>
      <c r="L1344" s="294">
        <f t="shared" si="197"/>
        <v>0.61889132462533447</v>
      </c>
      <c r="M1344" s="309">
        <f t="shared" si="202"/>
        <v>1.6690685475358729</v>
      </c>
      <c r="N1344" s="294">
        <v>0</v>
      </c>
      <c r="O1344" s="294" t="str">
        <f t="shared" si="193"/>
        <v/>
      </c>
      <c r="P1344" s="294"/>
    </row>
    <row r="1345" spans="1:16">
      <c r="A1345" s="294"/>
      <c r="B1345" s="294" t="s">
        <v>392</v>
      </c>
      <c r="C1345" s="294" t="s">
        <v>607</v>
      </c>
      <c r="D1345" s="295" t="s">
        <v>1065</v>
      </c>
      <c r="E1345" s="296">
        <v>12</v>
      </c>
      <c r="F1345" s="294">
        <v>9.9</v>
      </c>
      <c r="G1345" s="308">
        <f t="shared" si="201"/>
        <v>8.554279489999999</v>
      </c>
      <c r="H1345" s="294">
        <v>159.30000000000001</v>
      </c>
      <c r="I1345" s="297"/>
      <c r="J1345" s="297"/>
      <c r="K1345" s="294">
        <f t="shared" si="196"/>
        <v>2.2624</v>
      </c>
      <c r="L1345" s="294">
        <f t="shared" si="197"/>
        <v>0.54947914156562316</v>
      </c>
      <c r="M1345" s="309">
        <f t="shared" si="202"/>
        <v>1.6496505808783817</v>
      </c>
      <c r="N1345" s="294">
        <v>0</v>
      </c>
      <c r="O1345" s="294" t="str">
        <f t="shared" si="193"/>
        <v/>
      </c>
      <c r="P1345" s="294"/>
    </row>
    <row r="1346" spans="1:16">
      <c r="A1346" s="294">
        <v>113</v>
      </c>
      <c r="B1346" s="294" t="s">
        <v>395</v>
      </c>
      <c r="C1346" s="294" t="s">
        <v>394</v>
      </c>
      <c r="D1346" s="295" t="s">
        <v>1066</v>
      </c>
      <c r="E1346" s="296">
        <v>1</v>
      </c>
      <c r="F1346" s="294">
        <v>6.7</v>
      </c>
      <c r="G1346" s="294">
        <v>8.4</v>
      </c>
      <c r="H1346" s="294"/>
      <c r="I1346" s="294">
        <v>0.90900000000000003</v>
      </c>
      <c r="J1346" s="294">
        <v>-7.0000000000000007E-2</v>
      </c>
      <c r="K1346" s="294">
        <f t="shared" si="196"/>
        <v>2.3391999999999999</v>
      </c>
      <c r="L1346" s="294">
        <f t="shared" si="197"/>
        <v>0.50401539269658691</v>
      </c>
      <c r="M1346" s="297">
        <f>$I$1346*L1346*(G1346/K1346)+$J$1346</f>
        <v>1.5752034595049842</v>
      </c>
      <c r="N1346" s="294">
        <v>0</v>
      </c>
      <c r="O1346" s="294" t="str">
        <f t="shared" ref="O1346:O1409" si="203">IF(N1346*M1346=0,"",N1346*M1346)</f>
        <v/>
      </c>
      <c r="P1346" s="294">
        <f>AVERAGE(O1346:O1357)</f>
        <v>6.1324968009043452</v>
      </c>
    </row>
    <row r="1347" spans="1:16">
      <c r="A1347" s="294"/>
      <c r="B1347" s="294" t="s">
        <v>395</v>
      </c>
      <c r="C1347" s="294" t="s">
        <v>394</v>
      </c>
      <c r="D1347" s="295" t="s">
        <v>1066</v>
      </c>
      <c r="E1347" s="296">
        <v>2</v>
      </c>
      <c r="F1347" s="294">
        <v>6.6</v>
      </c>
      <c r="G1347" s="294">
        <v>11.2</v>
      </c>
      <c r="H1347" s="294"/>
      <c r="I1347" s="294"/>
      <c r="J1347" s="294"/>
      <c r="K1347" s="294">
        <f t="shared" si="196"/>
        <v>2.3416000000000001</v>
      </c>
      <c r="L1347" s="294">
        <f t="shared" si="197"/>
        <v>0.5025819590057089</v>
      </c>
      <c r="M1347" s="297">
        <f t="shared" ref="M1347:M1357" si="204">$I$1346*L1347*(G1347/K1347)+$J$1346</f>
        <v>2.1151240212868641</v>
      </c>
      <c r="N1347" s="294">
        <v>0</v>
      </c>
      <c r="O1347" s="294" t="str">
        <f t="shared" si="203"/>
        <v/>
      </c>
      <c r="P1347" s="294"/>
    </row>
    <row r="1348" spans="1:16">
      <c r="A1348" s="294"/>
      <c r="B1348" s="294" t="s">
        <v>395</v>
      </c>
      <c r="C1348" s="294" t="s">
        <v>394</v>
      </c>
      <c r="D1348" s="295" t="s">
        <v>1066</v>
      </c>
      <c r="E1348" s="296">
        <v>3</v>
      </c>
      <c r="F1348" s="294">
        <v>9.8000000000000007</v>
      </c>
      <c r="G1348" s="294">
        <v>14.4</v>
      </c>
      <c r="H1348" s="294"/>
      <c r="I1348" s="294"/>
      <c r="J1348" s="294"/>
      <c r="K1348" s="294">
        <f t="shared" si="196"/>
        <v>2.2648000000000001</v>
      </c>
      <c r="L1348" s="294">
        <f t="shared" si="197"/>
        <v>0.54807446203847976</v>
      </c>
      <c r="M1348" s="297">
        <f t="shared" si="204"/>
        <v>3.0976419455576139</v>
      </c>
      <c r="N1348" s="294">
        <v>0</v>
      </c>
      <c r="O1348" s="294" t="str">
        <f t="shared" si="203"/>
        <v/>
      </c>
      <c r="P1348" s="294"/>
    </row>
    <row r="1349" spans="1:16">
      <c r="A1349" s="294"/>
      <c r="B1349" s="294" t="s">
        <v>395</v>
      </c>
      <c r="C1349" s="294" t="s">
        <v>394</v>
      </c>
      <c r="D1349" s="295" t="s">
        <v>1066</v>
      </c>
      <c r="E1349" s="296">
        <v>4</v>
      </c>
      <c r="F1349" s="294">
        <v>16</v>
      </c>
      <c r="G1349" s="294">
        <v>15.1</v>
      </c>
      <c r="H1349" s="294"/>
      <c r="I1349" s="294"/>
      <c r="J1349" s="294"/>
      <c r="K1349" s="294">
        <f t="shared" si="196"/>
        <v>2.1160000000000001</v>
      </c>
      <c r="L1349" s="294">
        <f t="shared" si="197"/>
        <v>0.63185951626122749</v>
      </c>
      <c r="M1349" s="297">
        <f t="shared" si="204"/>
        <v>4.0286959046550006</v>
      </c>
      <c r="N1349" s="294">
        <v>0</v>
      </c>
      <c r="O1349" s="294" t="str">
        <f t="shared" si="203"/>
        <v/>
      </c>
      <c r="P1349" s="294"/>
    </row>
    <row r="1350" spans="1:16">
      <c r="A1350" s="294"/>
      <c r="B1350" s="294" t="s">
        <v>395</v>
      </c>
      <c r="C1350" s="294" t="s">
        <v>394</v>
      </c>
      <c r="D1350" s="295" t="s">
        <v>1066</v>
      </c>
      <c r="E1350" s="296">
        <v>5</v>
      </c>
      <c r="F1350" s="294">
        <v>20.2</v>
      </c>
      <c r="G1350" s="294">
        <v>20.6</v>
      </c>
      <c r="H1350" s="294"/>
      <c r="I1350" s="294"/>
      <c r="J1350" s="294"/>
      <c r="K1350" s="294">
        <f t="shared" si="196"/>
        <v>2.0152000000000001</v>
      </c>
      <c r="L1350" s="294">
        <f t="shared" si="197"/>
        <v>0.68339192349867006</v>
      </c>
      <c r="M1350" s="297">
        <f t="shared" si="204"/>
        <v>6.2801325547250872</v>
      </c>
      <c r="N1350" s="294">
        <v>0</v>
      </c>
      <c r="O1350" s="294" t="str">
        <f t="shared" si="203"/>
        <v/>
      </c>
      <c r="P1350" s="294"/>
    </row>
    <row r="1351" spans="1:16">
      <c r="A1351" s="294"/>
      <c r="B1351" s="294" t="s">
        <v>395</v>
      </c>
      <c r="C1351" s="294" t="s">
        <v>394</v>
      </c>
      <c r="D1351" s="295" t="s">
        <v>1066</v>
      </c>
      <c r="E1351" s="296">
        <v>6</v>
      </c>
      <c r="F1351" s="294">
        <v>21.9</v>
      </c>
      <c r="G1351" s="294">
        <v>15.4</v>
      </c>
      <c r="H1351" s="294"/>
      <c r="I1351" s="294"/>
      <c r="J1351" s="294"/>
      <c r="K1351" s="294">
        <f t="shared" si="196"/>
        <v>1.9744000000000002</v>
      </c>
      <c r="L1351" s="294">
        <f t="shared" si="197"/>
        <v>0.70276111711361078</v>
      </c>
      <c r="M1351" s="297">
        <f t="shared" si="204"/>
        <v>4.9126133377363201</v>
      </c>
      <c r="N1351" s="294">
        <v>0</v>
      </c>
      <c r="O1351" s="294" t="str">
        <f t="shared" si="203"/>
        <v/>
      </c>
      <c r="P1351" s="294"/>
    </row>
    <row r="1352" spans="1:16">
      <c r="A1352" s="294"/>
      <c r="B1352" s="294" t="s">
        <v>395</v>
      </c>
      <c r="C1352" s="294" t="s">
        <v>394</v>
      </c>
      <c r="D1352" s="295" t="s">
        <v>1066</v>
      </c>
      <c r="E1352" s="296">
        <v>7</v>
      </c>
      <c r="F1352" s="294">
        <v>26.3</v>
      </c>
      <c r="G1352" s="294">
        <v>15.8</v>
      </c>
      <c r="H1352" s="294"/>
      <c r="I1352" s="294"/>
      <c r="J1352" s="294"/>
      <c r="K1352" s="294">
        <f t="shared" si="196"/>
        <v>1.8688</v>
      </c>
      <c r="L1352" s="294">
        <f t="shared" si="197"/>
        <v>0.74854854390536441</v>
      </c>
      <c r="M1352" s="297">
        <f t="shared" si="204"/>
        <v>5.6827846196905094</v>
      </c>
      <c r="N1352" s="294">
        <v>1</v>
      </c>
      <c r="O1352" s="294">
        <f t="shared" si="203"/>
        <v>5.6827846196905094</v>
      </c>
      <c r="P1352" s="294"/>
    </row>
    <row r="1353" spans="1:16">
      <c r="A1353" s="294"/>
      <c r="B1353" s="294" t="s">
        <v>395</v>
      </c>
      <c r="C1353" s="294" t="s">
        <v>394</v>
      </c>
      <c r="D1353" s="295" t="s">
        <v>1066</v>
      </c>
      <c r="E1353" s="296">
        <v>8</v>
      </c>
      <c r="F1353" s="294">
        <v>27.1</v>
      </c>
      <c r="G1353" s="294">
        <v>17.899999999999999</v>
      </c>
      <c r="H1353" s="294"/>
      <c r="I1353" s="294"/>
      <c r="J1353" s="294"/>
      <c r="K1353" s="294">
        <f t="shared" si="196"/>
        <v>1.8495999999999999</v>
      </c>
      <c r="L1353" s="294">
        <f t="shared" si="197"/>
        <v>0.7561827862483661</v>
      </c>
      <c r="M1353" s="297">
        <f t="shared" si="204"/>
        <v>6.5822089821181811</v>
      </c>
      <c r="N1353" s="294">
        <v>1</v>
      </c>
      <c r="O1353" s="294">
        <f t="shared" si="203"/>
        <v>6.5822089821181811</v>
      </c>
      <c r="P1353" s="294"/>
    </row>
    <row r="1354" spans="1:16">
      <c r="A1354" s="294"/>
      <c r="B1354" s="294" t="s">
        <v>395</v>
      </c>
      <c r="C1354" s="294" t="s">
        <v>394</v>
      </c>
      <c r="D1354" s="295" t="s">
        <v>1066</v>
      </c>
      <c r="E1354" s="296">
        <v>9</v>
      </c>
      <c r="F1354" s="294">
        <v>23.1</v>
      </c>
      <c r="G1354" s="294">
        <v>14</v>
      </c>
      <c r="H1354" s="294"/>
      <c r="I1354" s="294"/>
      <c r="J1354" s="294"/>
      <c r="K1354" s="294">
        <f t="shared" si="196"/>
        <v>1.9456</v>
      </c>
      <c r="L1354" s="294">
        <f t="shared" si="197"/>
        <v>0.71587957464624719</v>
      </c>
      <c r="M1354" s="297">
        <f t="shared" si="204"/>
        <v>4.6125058937850234</v>
      </c>
      <c r="N1354" s="294">
        <v>0</v>
      </c>
      <c r="O1354" s="294" t="str">
        <f t="shared" si="203"/>
        <v/>
      </c>
      <c r="P1354" s="294"/>
    </row>
    <row r="1355" spans="1:16">
      <c r="A1355" s="294"/>
      <c r="B1355" s="294" t="s">
        <v>395</v>
      </c>
      <c r="C1355" s="294" t="s">
        <v>394</v>
      </c>
      <c r="D1355" s="295" t="s">
        <v>1066</v>
      </c>
      <c r="E1355" s="296">
        <v>10</v>
      </c>
      <c r="F1355" s="294">
        <v>18.3</v>
      </c>
      <c r="G1355" s="294">
        <v>14.9</v>
      </c>
      <c r="H1355" s="294"/>
      <c r="I1355" s="294"/>
      <c r="J1355" s="294"/>
      <c r="K1355" s="294">
        <f t="shared" si="196"/>
        <v>2.0608</v>
      </c>
      <c r="L1355" s="294">
        <f t="shared" si="197"/>
        <v>0.66069972168755697</v>
      </c>
      <c r="M1355" s="297">
        <f t="shared" si="204"/>
        <v>4.2722860542063463</v>
      </c>
      <c r="N1355" s="294">
        <v>0</v>
      </c>
      <c r="O1355" s="294" t="str">
        <f t="shared" si="203"/>
        <v/>
      </c>
      <c r="P1355" s="294"/>
    </row>
    <row r="1356" spans="1:16">
      <c r="A1356" s="294"/>
      <c r="B1356" s="294" t="s">
        <v>395</v>
      </c>
      <c r="C1356" s="294" t="s">
        <v>394</v>
      </c>
      <c r="D1356" s="295" t="s">
        <v>1066</v>
      </c>
      <c r="E1356" s="296">
        <v>11</v>
      </c>
      <c r="F1356" s="294">
        <v>15.5</v>
      </c>
      <c r="G1356" s="294">
        <v>7.9</v>
      </c>
      <c r="H1356" s="294"/>
      <c r="I1356" s="294"/>
      <c r="J1356" s="294"/>
      <c r="K1356" s="294">
        <f t="shared" si="196"/>
        <v>2.1280000000000001</v>
      </c>
      <c r="L1356" s="294">
        <f t="shared" si="197"/>
        <v>0.62540609843700268</v>
      </c>
      <c r="M1356" s="297">
        <f t="shared" si="204"/>
        <v>2.0404810777659588</v>
      </c>
      <c r="N1356" s="294">
        <v>0</v>
      </c>
      <c r="O1356" s="294" t="str">
        <f t="shared" si="203"/>
        <v/>
      </c>
      <c r="P1356" s="294"/>
    </row>
    <row r="1357" spans="1:16">
      <c r="A1357" s="294"/>
      <c r="B1357" s="294" t="s">
        <v>395</v>
      </c>
      <c r="C1357" s="294" t="s">
        <v>394</v>
      </c>
      <c r="D1357" s="295" t="s">
        <v>1066</v>
      </c>
      <c r="E1357" s="296">
        <v>12</v>
      </c>
      <c r="F1357" s="294">
        <v>10</v>
      </c>
      <c r="G1357" s="294">
        <v>8.1</v>
      </c>
      <c r="H1357" s="294"/>
      <c r="I1357" s="294"/>
      <c r="J1357" s="294"/>
      <c r="K1357" s="294">
        <f t="shared" si="196"/>
        <v>2.2599999999999998</v>
      </c>
      <c r="L1357" s="294">
        <f t="shared" si="197"/>
        <v>0.55088251592251125</v>
      </c>
      <c r="M1357" s="297">
        <f t="shared" si="204"/>
        <v>1.7247313612769282</v>
      </c>
      <c r="N1357" s="294">
        <v>0</v>
      </c>
      <c r="O1357" s="294" t="str">
        <f t="shared" si="203"/>
        <v/>
      </c>
      <c r="P1357" s="294"/>
    </row>
    <row r="1358" spans="1:16">
      <c r="A1358" s="294">
        <v>114</v>
      </c>
      <c r="B1358" s="294" t="s">
        <v>395</v>
      </c>
      <c r="C1358" s="294" t="s">
        <v>396</v>
      </c>
      <c r="D1358" s="295" t="s">
        <v>1066</v>
      </c>
      <c r="E1358" s="296">
        <v>1</v>
      </c>
      <c r="F1358" s="294">
        <v>7.6</v>
      </c>
      <c r="G1358" s="308">
        <f t="shared" ref="G1358:G1369" si="205">$T$11+$T$12*H1358+INDEX($T$13:$T$24,MATCH(E1358,$S$13:$S$24,0),1)</f>
        <v>7.1433577000000001</v>
      </c>
      <c r="H1358" s="294">
        <v>113</v>
      </c>
      <c r="I1358" s="306">
        <v>0.86399999999999999</v>
      </c>
      <c r="J1358" s="307">
        <v>0.47</v>
      </c>
      <c r="K1358" s="294">
        <f t="shared" si="196"/>
        <v>2.3176000000000001</v>
      </c>
      <c r="L1358" s="294">
        <f t="shared" si="197"/>
        <v>0.51689044020520014</v>
      </c>
      <c r="M1358" s="309">
        <f>$I$1358*L1358*(G1358/K1358)+$J$1358</f>
        <v>1.8464998172536771</v>
      </c>
      <c r="N1358" s="294">
        <v>0</v>
      </c>
      <c r="O1358" s="294" t="str">
        <f t="shared" si="203"/>
        <v/>
      </c>
      <c r="P1358" s="294">
        <f>AVERAGE(O1358:O1369)</f>
        <v>6.4970601996063344</v>
      </c>
    </row>
    <row r="1359" spans="1:16">
      <c r="A1359" s="294"/>
      <c r="B1359" s="294" t="s">
        <v>395</v>
      </c>
      <c r="C1359" s="294" t="s">
        <v>396</v>
      </c>
      <c r="D1359" s="295" t="s">
        <v>1066</v>
      </c>
      <c r="E1359" s="296">
        <v>2</v>
      </c>
      <c r="F1359" s="294">
        <v>7.2</v>
      </c>
      <c r="G1359" s="308">
        <f t="shared" si="205"/>
        <v>10.009687639999999</v>
      </c>
      <c r="H1359" s="294">
        <v>122.8</v>
      </c>
      <c r="I1359" s="297"/>
      <c r="J1359" s="297"/>
      <c r="K1359" s="294">
        <f t="shared" si="196"/>
        <v>2.3271999999999999</v>
      </c>
      <c r="L1359" s="294">
        <f t="shared" si="197"/>
        <v>0.51117445743276591</v>
      </c>
      <c r="M1359" s="309">
        <f t="shared" ref="M1359:M1369" si="206">$I$1358*L1359*(G1359/K1359)+$J$1358</f>
        <v>2.3696329942675627</v>
      </c>
      <c r="N1359" s="294">
        <v>0</v>
      </c>
      <c r="O1359" s="294" t="str">
        <f t="shared" si="203"/>
        <v/>
      </c>
      <c r="P1359" s="294"/>
    </row>
    <row r="1360" spans="1:16">
      <c r="A1360" s="294"/>
      <c r="B1360" s="294" t="s">
        <v>395</v>
      </c>
      <c r="C1360" s="294" t="s">
        <v>396</v>
      </c>
      <c r="D1360" s="295" t="s">
        <v>1066</v>
      </c>
      <c r="E1360" s="296">
        <v>3</v>
      </c>
      <c r="F1360" s="294">
        <v>10.6</v>
      </c>
      <c r="G1360" s="308">
        <f t="shared" si="205"/>
        <v>14.173144820000001</v>
      </c>
      <c r="H1360" s="294">
        <v>178.4</v>
      </c>
      <c r="I1360" s="297"/>
      <c r="J1360" s="297"/>
      <c r="K1360" s="294">
        <f t="shared" si="196"/>
        <v>2.2456</v>
      </c>
      <c r="L1360" s="294">
        <f t="shared" si="197"/>
        <v>0.55927403042310664</v>
      </c>
      <c r="M1360" s="309">
        <f t="shared" si="206"/>
        <v>3.5198060468229135</v>
      </c>
      <c r="N1360" s="294">
        <v>0</v>
      </c>
      <c r="O1360" s="294" t="str">
        <f t="shared" si="203"/>
        <v/>
      </c>
      <c r="P1360" s="294"/>
    </row>
    <row r="1361" spans="1:16">
      <c r="A1361" s="294"/>
      <c r="B1361" s="294" t="s">
        <v>395</v>
      </c>
      <c r="C1361" s="294" t="s">
        <v>396</v>
      </c>
      <c r="D1361" s="295" t="s">
        <v>1066</v>
      </c>
      <c r="E1361" s="296">
        <v>4</v>
      </c>
      <c r="F1361" s="294">
        <v>16.7</v>
      </c>
      <c r="G1361" s="308">
        <f t="shared" si="205"/>
        <v>14.059944340000001</v>
      </c>
      <c r="H1361" s="294">
        <v>133.80000000000001</v>
      </c>
      <c r="I1361" s="297"/>
      <c r="J1361" s="297"/>
      <c r="K1361" s="294">
        <f t="shared" si="196"/>
        <v>2.0992000000000002</v>
      </c>
      <c r="L1361" s="294">
        <f t="shared" si="197"/>
        <v>0.64078736157508165</v>
      </c>
      <c r="M1361" s="309">
        <f t="shared" si="206"/>
        <v>4.1781514514187466</v>
      </c>
      <c r="N1361" s="294">
        <v>0</v>
      </c>
      <c r="O1361" s="294" t="str">
        <f t="shared" si="203"/>
        <v/>
      </c>
      <c r="P1361" s="294"/>
    </row>
    <row r="1362" spans="1:16">
      <c r="A1362" s="294"/>
      <c r="B1362" s="294" t="s">
        <v>395</v>
      </c>
      <c r="C1362" s="294" t="s">
        <v>396</v>
      </c>
      <c r="D1362" s="295" t="s">
        <v>1066</v>
      </c>
      <c r="E1362" s="296">
        <v>5</v>
      </c>
      <c r="F1362" s="294">
        <v>20.100000000000001</v>
      </c>
      <c r="G1362" s="308">
        <f t="shared" si="205"/>
        <v>19.850164679999999</v>
      </c>
      <c r="H1362" s="294">
        <v>221.6</v>
      </c>
      <c r="I1362" s="297"/>
      <c r="J1362" s="297"/>
      <c r="K1362" s="294">
        <f t="shared" si="196"/>
        <v>2.0175999999999998</v>
      </c>
      <c r="L1362" s="294">
        <f t="shared" si="197"/>
        <v>0.68222457536345948</v>
      </c>
      <c r="M1362" s="309">
        <f t="shared" si="206"/>
        <v>6.2692275112150515</v>
      </c>
      <c r="N1362" s="294">
        <v>0</v>
      </c>
      <c r="O1362" s="294" t="str">
        <f t="shared" si="203"/>
        <v/>
      </c>
      <c r="P1362" s="294"/>
    </row>
    <row r="1363" spans="1:16">
      <c r="A1363" s="294"/>
      <c r="B1363" s="294" t="s">
        <v>395</v>
      </c>
      <c r="C1363" s="294" t="s">
        <v>396</v>
      </c>
      <c r="D1363" s="295" t="s">
        <v>1066</v>
      </c>
      <c r="E1363" s="296">
        <v>6</v>
      </c>
      <c r="F1363" s="294">
        <v>21.8</v>
      </c>
      <c r="G1363" s="308">
        <f t="shared" si="205"/>
        <v>14.139257990000001</v>
      </c>
      <c r="H1363" s="294">
        <v>94.3</v>
      </c>
      <c r="I1363" s="297"/>
      <c r="J1363" s="297"/>
      <c r="K1363" s="294">
        <f t="shared" si="196"/>
        <v>1.9767999999999999</v>
      </c>
      <c r="L1363" s="294">
        <f t="shared" si="197"/>
        <v>0.70164698620294608</v>
      </c>
      <c r="M1363" s="309">
        <f t="shared" si="206"/>
        <v>4.806070083486758</v>
      </c>
      <c r="N1363" s="294">
        <v>0</v>
      </c>
      <c r="O1363" s="294" t="str">
        <f t="shared" si="203"/>
        <v/>
      </c>
      <c r="P1363" s="294"/>
    </row>
    <row r="1364" spans="1:16">
      <c r="A1364" s="294"/>
      <c r="B1364" s="294" t="s">
        <v>395</v>
      </c>
      <c r="C1364" s="294" t="s">
        <v>396</v>
      </c>
      <c r="D1364" s="295" t="s">
        <v>1066</v>
      </c>
      <c r="E1364" s="296">
        <v>7</v>
      </c>
      <c r="F1364" s="294">
        <v>25.7</v>
      </c>
      <c r="G1364" s="308">
        <f t="shared" si="205"/>
        <v>16.56982945</v>
      </c>
      <c r="H1364" s="294">
        <v>156.5</v>
      </c>
      <c r="I1364" s="297"/>
      <c r="J1364" s="297"/>
      <c r="K1364" s="294">
        <f t="shared" si="196"/>
        <v>1.8832</v>
      </c>
      <c r="L1364" s="294">
        <f t="shared" si="197"/>
        <v>0.74268247605162208</v>
      </c>
      <c r="M1364" s="309">
        <f t="shared" si="206"/>
        <v>6.1159692951458853</v>
      </c>
      <c r="N1364" s="294">
        <v>1</v>
      </c>
      <c r="O1364" s="294">
        <f t="shared" si="203"/>
        <v>6.1159692951458853</v>
      </c>
      <c r="P1364" s="294"/>
    </row>
    <row r="1365" spans="1:16">
      <c r="A1365" s="294"/>
      <c r="B1365" s="294" t="s">
        <v>395</v>
      </c>
      <c r="C1365" s="294" t="s">
        <v>396</v>
      </c>
      <c r="D1365" s="295" t="s">
        <v>1066</v>
      </c>
      <c r="E1365" s="296">
        <v>8</v>
      </c>
      <c r="F1365" s="294">
        <v>26.8</v>
      </c>
      <c r="G1365" s="308">
        <f t="shared" si="205"/>
        <v>18.280590010000001</v>
      </c>
      <c r="H1365" s="294">
        <v>210.7</v>
      </c>
      <c r="I1365" s="297"/>
      <c r="J1365" s="297"/>
      <c r="K1365" s="294">
        <f t="shared" si="196"/>
        <v>1.8568</v>
      </c>
      <c r="L1365" s="294">
        <f t="shared" si="197"/>
        <v>0.75334501747293869</v>
      </c>
      <c r="M1365" s="309">
        <f t="shared" si="206"/>
        <v>6.8781511040667835</v>
      </c>
      <c r="N1365" s="294">
        <v>1</v>
      </c>
      <c r="O1365" s="294">
        <f t="shared" si="203"/>
        <v>6.8781511040667835</v>
      </c>
      <c r="P1365" s="294"/>
    </row>
    <row r="1366" spans="1:16">
      <c r="A1366" s="294"/>
      <c r="B1366" s="294" t="s">
        <v>395</v>
      </c>
      <c r="C1366" s="294" t="s">
        <v>396</v>
      </c>
      <c r="D1366" s="295" t="s">
        <v>1066</v>
      </c>
      <c r="E1366" s="296">
        <v>9</v>
      </c>
      <c r="F1366" s="294">
        <v>23.1</v>
      </c>
      <c r="G1366" s="308">
        <f t="shared" si="205"/>
        <v>13.99356349</v>
      </c>
      <c r="H1366" s="294">
        <v>155.30000000000001</v>
      </c>
      <c r="I1366" s="297"/>
      <c r="J1366" s="297"/>
      <c r="K1366" s="294">
        <f t="shared" si="196"/>
        <v>1.9456</v>
      </c>
      <c r="L1366" s="294">
        <f t="shared" si="197"/>
        <v>0.71587957464624719</v>
      </c>
      <c r="M1366" s="309">
        <f t="shared" si="206"/>
        <v>4.9186524594272072</v>
      </c>
      <c r="N1366" s="294">
        <v>0</v>
      </c>
      <c r="O1366" s="294" t="str">
        <f t="shared" si="203"/>
        <v/>
      </c>
      <c r="P1366" s="294"/>
    </row>
    <row r="1367" spans="1:16">
      <c r="A1367" s="294"/>
      <c r="B1367" s="294" t="s">
        <v>395</v>
      </c>
      <c r="C1367" s="294" t="s">
        <v>396</v>
      </c>
      <c r="D1367" s="295" t="s">
        <v>1066</v>
      </c>
      <c r="E1367" s="296">
        <v>10</v>
      </c>
      <c r="F1367" s="294">
        <v>18.100000000000001</v>
      </c>
      <c r="G1367" s="308">
        <f t="shared" si="205"/>
        <v>14.78414004</v>
      </c>
      <c r="H1367" s="294">
        <v>238.8</v>
      </c>
      <c r="I1367" s="297"/>
      <c r="J1367" s="297"/>
      <c r="K1367" s="294">
        <f t="shared" si="196"/>
        <v>2.0655999999999999</v>
      </c>
      <c r="L1367" s="294">
        <f t="shared" si="197"/>
        <v>0.65824963683932147</v>
      </c>
      <c r="M1367" s="309">
        <f t="shared" si="206"/>
        <v>4.5405604946927216</v>
      </c>
      <c r="N1367" s="294">
        <v>0</v>
      </c>
      <c r="O1367" s="294" t="str">
        <f t="shared" si="203"/>
        <v/>
      </c>
      <c r="P1367" s="294"/>
    </row>
    <row r="1368" spans="1:16">
      <c r="A1368" s="294"/>
      <c r="B1368" s="294" t="s">
        <v>395</v>
      </c>
      <c r="C1368" s="294" t="s">
        <v>396</v>
      </c>
      <c r="D1368" s="295" t="s">
        <v>1066</v>
      </c>
      <c r="E1368" s="296">
        <v>11</v>
      </c>
      <c r="F1368" s="294">
        <v>16.3</v>
      </c>
      <c r="G1368" s="308">
        <f t="shared" si="205"/>
        <v>7.0090530300000005</v>
      </c>
      <c r="H1368" s="294">
        <v>97.1</v>
      </c>
      <c r="I1368" s="297"/>
      <c r="J1368" s="297"/>
      <c r="K1368" s="294">
        <f t="shared" si="196"/>
        <v>2.1088</v>
      </c>
      <c r="L1368" s="294">
        <f t="shared" si="197"/>
        <v>0.63570126432395468</v>
      </c>
      <c r="M1368" s="309">
        <f t="shared" si="206"/>
        <v>2.2955375503472748</v>
      </c>
      <c r="N1368" s="294">
        <v>0</v>
      </c>
      <c r="O1368" s="294" t="str">
        <f t="shared" si="203"/>
        <v/>
      </c>
      <c r="P1368" s="294"/>
    </row>
    <row r="1369" spans="1:16">
      <c r="A1369" s="294"/>
      <c r="B1369" s="294" t="s">
        <v>395</v>
      </c>
      <c r="C1369" s="294" t="s">
        <v>396</v>
      </c>
      <c r="D1369" s="295" t="s">
        <v>1066</v>
      </c>
      <c r="E1369" s="296">
        <v>12</v>
      </c>
      <c r="F1369" s="294">
        <v>10.9</v>
      </c>
      <c r="G1369" s="308">
        <f t="shared" si="205"/>
        <v>7.5300952400000005</v>
      </c>
      <c r="H1369" s="294">
        <v>136.80000000000001</v>
      </c>
      <c r="I1369" s="297"/>
      <c r="J1369" s="297"/>
      <c r="K1369" s="294">
        <f t="shared" si="196"/>
        <v>2.2383999999999999</v>
      </c>
      <c r="L1369" s="294">
        <f t="shared" si="197"/>
        <v>0.56345026615865479</v>
      </c>
      <c r="M1369" s="309">
        <f t="shared" si="206"/>
        <v>2.1076915298614232</v>
      </c>
      <c r="N1369" s="294">
        <v>0</v>
      </c>
      <c r="O1369" s="294" t="str">
        <f t="shared" si="203"/>
        <v/>
      </c>
      <c r="P1369" s="294"/>
    </row>
    <row r="1370" spans="1:16">
      <c r="A1370" s="294">
        <v>115</v>
      </c>
      <c r="B1370" s="294" t="s">
        <v>397</v>
      </c>
      <c r="C1370" s="294" t="s">
        <v>397</v>
      </c>
      <c r="D1370" s="295" t="s">
        <v>1066</v>
      </c>
      <c r="E1370" s="296">
        <v>1</v>
      </c>
      <c r="F1370" s="294">
        <v>7.2</v>
      </c>
      <c r="G1370" s="294">
        <v>10.4</v>
      </c>
      <c r="H1370" s="294"/>
      <c r="I1370" s="294">
        <v>0.75600000000000001</v>
      </c>
      <c r="J1370" s="294">
        <v>0.36</v>
      </c>
      <c r="K1370" s="294">
        <f t="shared" si="196"/>
        <v>2.3271999999999999</v>
      </c>
      <c r="L1370" s="294">
        <f t="shared" si="197"/>
        <v>0.51117445743276591</v>
      </c>
      <c r="M1370" s="297">
        <f>$I$1370*L1370*(G1370/K1370)+$J$1370</f>
        <v>2.0869929761599257</v>
      </c>
      <c r="N1370" s="294">
        <v>0</v>
      </c>
      <c r="O1370" s="294" t="str">
        <f t="shared" si="203"/>
        <v/>
      </c>
      <c r="P1370" s="294">
        <f>AVERAGE(O1370:O1381)</f>
        <v>5.3641655481781543</v>
      </c>
    </row>
    <row r="1371" spans="1:16">
      <c r="A1371" s="294"/>
      <c r="B1371" s="294" t="s">
        <v>397</v>
      </c>
      <c r="C1371" s="294" t="s">
        <v>397</v>
      </c>
      <c r="D1371" s="295" t="s">
        <v>1066</v>
      </c>
      <c r="E1371" s="296">
        <v>2</v>
      </c>
      <c r="F1371" s="294">
        <v>7.3</v>
      </c>
      <c r="G1371" s="294">
        <v>12.9</v>
      </c>
      <c r="H1371" s="294"/>
      <c r="I1371" s="294"/>
      <c r="J1371" s="294"/>
      <c r="K1371" s="294">
        <f t="shared" si="196"/>
        <v>2.3248000000000002</v>
      </c>
      <c r="L1371" s="294">
        <f t="shared" si="197"/>
        <v>0.5126044692087397</v>
      </c>
      <c r="M1371" s="297">
        <f t="shared" ref="M1371:M1381" si="207">$I$1370*L1371*(G1371/K1371)+$J$1370</f>
        <v>2.5103457611456093</v>
      </c>
      <c r="N1371" s="294">
        <v>0</v>
      </c>
      <c r="O1371" s="294" t="str">
        <f t="shared" si="203"/>
        <v/>
      </c>
      <c r="P1371" s="294"/>
    </row>
    <row r="1372" spans="1:16">
      <c r="A1372" s="294"/>
      <c r="B1372" s="294" t="s">
        <v>397</v>
      </c>
      <c r="C1372" s="294" t="s">
        <v>397</v>
      </c>
      <c r="D1372" s="295" t="s">
        <v>1066</v>
      </c>
      <c r="E1372" s="296">
        <v>3</v>
      </c>
      <c r="F1372" s="294">
        <v>11.2</v>
      </c>
      <c r="G1372" s="294">
        <v>15.2</v>
      </c>
      <c r="H1372" s="294"/>
      <c r="I1372" s="294"/>
      <c r="J1372" s="294"/>
      <c r="K1372" s="294">
        <f t="shared" si="196"/>
        <v>2.2311999999999999</v>
      </c>
      <c r="L1372" s="294">
        <f t="shared" si="197"/>
        <v>0.56761265844301101</v>
      </c>
      <c r="M1372" s="297">
        <f t="shared" si="207"/>
        <v>3.2833374779044133</v>
      </c>
      <c r="N1372" s="294">
        <v>0</v>
      </c>
      <c r="O1372" s="294" t="str">
        <f t="shared" si="203"/>
        <v/>
      </c>
      <c r="P1372" s="294"/>
    </row>
    <row r="1373" spans="1:16">
      <c r="A1373" s="294"/>
      <c r="B1373" s="294" t="s">
        <v>397</v>
      </c>
      <c r="C1373" s="294" t="s">
        <v>397</v>
      </c>
      <c r="D1373" s="295" t="s">
        <v>1066</v>
      </c>
      <c r="E1373" s="296">
        <v>4</v>
      </c>
      <c r="F1373" s="294">
        <v>17.2</v>
      </c>
      <c r="G1373" s="294">
        <v>13.9</v>
      </c>
      <c r="H1373" s="294"/>
      <c r="I1373" s="294"/>
      <c r="J1373" s="294"/>
      <c r="K1373" s="294">
        <f t="shared" si="196"/>
        <v>2.0872000000000002</v>
      </c>
      <c r="L1373" s="294">
        <f t="shared" si="197"/>
        <v>0.64708539575733404</v>
      </c>
      <c r="M1373" s="297">
        <f t="shared" si="207"/>
        <v>3.6178728309583978</v>
      </c>
      <c r="N1373" s="294">
        <v>0</v>
      </c>
      <c r="O1373" s="294" t="str">
        <f t="shared" si="203"/>
        <v/>
      </c>
      <c r="P1373" s="294"/>
    </row>
    <row r="1374" spans="1:16">
      <c r="A1374" s="294"/>
      <c r="B1374" s="294" t="s">
        <v>397</v>
      </c>
      <c r="C1374" s="294" t="s">
        <v>397</v>
      </c>
      <c r="D1374" s="295" t="s">
        <v>1066</v>
      </c>
      <c r="E1374" s="296">
        <v>5</v>
      </c>
      <c r="F1374" s="294">
        <v>20.7</v>
      </c>
      <c r="G1374" s="294">
        <v>20.399999999999999</v>
      </c>
      <c r="H1374" s="294"/>
      <c r="I1374" s="294"/>
      <c r="J1374" s="294"/>
      <c r="K1374" s="294">
        <f t="shared" si="196"/>
        <v>2.0032000000000001</v>
      </c>
      <c r="L1374" s="294">
        <f t="shared" si="197"/>
        <v>0.68918252559756299</v>
      </c>
      <c r="M1374" s="297">
        <f t="shared" si="207"/>
        <v>5.665934795714783</v>
      </c>
      <c r="N1374" s="294">
        <v>0</v>
      </c>
      <c r="O1374" s="294" t="str">
        <f t="shared" si="203"/>
        <v/>
      </c>
      <c r="P1374" s="294"/>
    </row>
    <row r="1375" spans="1:16">
      <c r="A1375" s="294"/>
      <c r="B1375" s="294" t="s">
        <v>397</v>
      </c>
      <c r="C1375" s="294" t="s">
        <v>397</v>
      </c>
      <c r="D1375" s="295" t="s">
        <v>1066</v>
      </c>
      <c r="E1375" s="296">
        <v>6</v>
      </c>
      <c r="F1375" s="294">
        <v>22.3</v>
      </c>
      <c r="G1375" s="294">
        <v>13.5</v>
      </c>
      <c r="H1375" s="294"/>
      <c r="I1375" s="294"/>
      <c r="J1375" s="294"/>
      <c r="K1375" s="294">
        <f t="shared" si="196"/>
        <v>1.9647999999999999</v>
      </c>
      <c r="L1375" s="294">
        <f t="shared" si="197"/>
        <v>0.70718560508058281</v>
      </c>
      <c r="M1375" s="297">
        <f t="shared" si="207"/>
        <v>4.0334203407229383</v>
      </c>
      <c r="N1375" s="294">
        <v>0</v>
      </c>
      <c r="O1375" s="294" t="str">
        <f t="shared" si="203"/>
        <v/>
      </c>
      <c r="P1375" s="294"/>
    </row>
    <row r="1376" spans="1:16">
      <c r="A1376" s="294"/>
      <c r="B1376" s="294" t="s">
        <v>397</v>
      </c>
      <c r="C1376" s="294" t="s">
        <v>397</v>
      </c>
      <c r="D1376" s="295" t="s">
        <v>1066</v>
      </c>
      <c r="E1376" s="296">
        <v>7</v>
      </c>
      <c r="F1376" s="294">
        <v>26.2</v>
      </c>
      <c r="G1376" s="294">
        <v>15</v>
      </c>
      <c r="H1376" s="294"/>
      <c r="I1376" s="294"/>
      <c r="J1376" s="294"/>
      <c r="K1376" s="294">
        <f t="shared" si="196"/>
        <v>1.8712</v>
      </c>
      <c r="L1376" s="294">
        <f t="shared" si="197"/>
        <v>0.74757921999786014</v>
      </c>
      <c r="M1376" s="297">
        <f t="shared" si="207"/>
        <v>4.8905410190122565</v>
      </c>
      <c r="N1376" s="294">
        <v>1</v>
      </c>
      <c r="O1376" s="294">
        <f t="shared" si="203"/>
        <v>4.8905410190122565</v>
      </c>
      <c r="P1376" s="294"/>
    </row>
    <row r="1377" spans="1:16">
      <c r="A1377" s="294"/>
      <c r="B1377" s="294" t="s">
        <v>397</v>
      </c>
      <c r="C1377" s="294" t="s">
        <v>397</v>
      </c>
      <c r="D1377" s="295" t="s">
        <v>1066</v>
      </c>
      <c r="E1377" s="296">
        <v>8</v>
      </c>
      <c r="F1377" s="294">
        <v>27.6</v>
      </c>
      <c r="G1377" s="294">
        <v>17.5</v>
      </c>
      <c r="H1377" s="294"/>
      <c r="I1377" s="294"/>
      <c r="J1377" s="294"/>
      <c r="K1377" s="294">
        <f t="shared" si="196"/>
        <v>1.8375999999999999</v>
      </c>
      <c r="L1377" s="294">
        <f t="shared" si="197"/>
        <v>0.76084558171787064</v>
      </c>
      <c r="M1377" s="297">
        <f t="shared" si="207"/>
        <v>5.8377900773440521</v>
      </c>
      <c r="N1377" s="294">
        <v>1</v>
      </c>
      <c r="O1377" s="294">
        <f t="shared" si="203"/>
        <v>5.8377900773440521</v>
      </c>
      <c r="P1377" s="294"/>
    </row>
    <row r="1378" spans="1:16">
      <c r="A1378" s="294"/>
      <c r="B1378" s="294" t="s">
        <v>397</v>
      </c>
      <c r="C1378" s="294" t="s">
        <v>397</v>
      </c>
      <c r="D1378" s="295" t="s">
        <v>1066</v>
      </c>
      <c r="E1378" s="296">
        <v>9</v>
      </c>
      <c r="F1378" s="294">
        <v>23.9</v>
      </c>
      <c r="G1378" s="294">
        <v>14.3</v>
      </c>
      <c r="H1378" s="294"/>
      <c r="I1378" s="294"/>
      <c r="J1378" s="294"/>
      <c r="K1378" s="294">
        <f t="shared" si="196"/>
        <v>1.9264000000000001</v>
      </c>
      <c r="L1378" s="294">
        <f t="shared" si="197"/>
        <v>0.72436467251145376</v>
      </c>
      <c r="M1378" s="297">
        <f t="shared" si="207"/>
        <v>4.4250755822190744</v>
      </c>
      <c r="N1378" s="294">
        <v>0</v>
      </c>
      <c r="O1378" s="294" t="str">
        <f t="shared" si="203"/>
        <v/>
      </c>
      <c r="P1378" s="294"/>
    </row>
    <row r="1379" spans="1:16">
      <c r="A1379" s="294"/>
      <c r="B1379" s="294" t="s">
        <v>397</v>
      </c>
      <c r="C1379" s="294" t="s">
        <v>397</v>
      </c>
      <c r="D1379" s="295" t="s">
        <v>1066</v>
      </c>
      <c r="E1379" s="296">
        <v>10</v>
      </c>
      <c r="F1379" s="294">
        <v>19.100000000000001</v>
      </c>
      <c r="G1379" s="294">
        <v>15.2</v>
      </c>
      <c r="H1379" s="294"/>
      <c r="I1379" s="294"/>
      <c r="J1379" s="294"/>
      <c r="K1379" s="294">
        <f t="shared" si="196"/>
        <v>2.0415999999999999</v>
      </c>
      <c r="L1379" s="294">
        <f t="shared" si="197"/>
        <v>0.67038469647805343</v>
      </c>
      <c r="M1379" s="297">
        <f t="shared" si="207"/>
        <v>4.1332781270418337</v>
      </c>
      <c r="N1379" s="294">
        <v>0</v>
      </c>
      <c r="O1379" s="294" t="str">
        <f t="shared" si="203"/>
        <v/>
      </c>
      <c r="P1379" s="294"/>
    </row>
    <row r="1380" spans="1:16">
      <c r="A1380" s="294"/>
      <c r="B1380" s="294" t="s">
        <v>397</v>
      </c>
      <c r="C1380" s="294" t="s">
        <v>397</v>
      </c>
      <c r="D1380" s="295" t="s">
        <v>1066</v>
      </c>
      <c r="E1380" s="296">
        <v>11</v>
      </c>
      <c r="F1380" s="294">
        <v>16.2</v>
      </c>
      <c r="G1380" s="294">
        <v>8.5</v>
      </c>
      <c r="H1380" s="294"/>
      <c r="I1380" s="294"/>
      <c r="J1380" s="294"/>
      <c r="K1380" s="294">
        <f t="shared" si="196"/>
        <v>2.1112000000000002</v>
      </c>
      <c r="L1380" s="294">
        <f t="shared" si="197"/>
        <v>0.63442324399527317</v>
      </c>
      <c r="M1380" s="297">
        <f t="shared" si="207"/>
        <v>2.2910362665373367</v>
      </c>
      <c r="N1380" s="294">
        <v>0</v>
      </c>
      <c r="O1380" s="294" t="str">
        <f t="shared" si="203"/>
        <v/>
      </c>
      <c r="P1380" s="294"/>
    </row>
    <row r="1381" spans="1:16">
      <c r="A1381" s="294"/>
      <c r="B1381" s="294" t="s">
        <v>397</v>
      </c>
      <c r="C1381" s="294" t="s">
        <v>397</v>
      </c>
      <c r="D1381" s="295" t="s">
        <v>1066</v>
      </c>
      <c r="E1381" s="296">
        <v>12</v>
      </c>
      <c r="F1381" s="294">
        <v>10.9</v>
      </c>
      <c r="G1381" s="294">
        <v>9.4</v>
      </c>
      <c r="H1381" s="294"/>
      <c r="I1381" s="294"/>
      <c r="J1381" s="294"/>
      <c r="K1381" s="294">
        <f t="shared" si="196"/>
        <v>2.2383999999999999</v>
      </c>
      <c r="L1381" s="294">
        <f t="shared" si="197"/>
        <v>0.56345026615865479</v>
      </c>
      <c r="M1381" s="297">
        <f t="shared" si="207"/>
        <v>2.1488237006030491</v>
      </c>
      <c r="N1381" s="294">
        <v>0</v>
      </c>
      <c r="O1381" s="294" t="str">
        <f t="shared" si="203"/>
        <v/>
      </c>
      <c r="P1381" s="294"/>
    </row>
    <row r="1382" spans="1:16">
      <c r="A1382" s="294">
        <v>116</v>
      </c>
      <c r="B1382" s="294" t="s">
        <v>398</v>
      </c>
      <c r="C1382" s="294" t="s">
        <v>608</v>
      </c>
      <c r="D1382" s="295" t="s">
        <v>1066</v>
      </c>
      <c r="E1382" s="296">
        <v>1</v>
      </c>
      <c r="F1382" s="294">
        <v>8.1</v>
      </c>
      <c r="G1382" s="308">
        <f t="shared" ref="G1382:G1417" si="208">$T$11+$T$12*H1382+INDEX($T$13:$T$24,MATCH(E1382,$S$13:$S$24,0),1)</f>
        <v>9.7607174500000013</v>
      </c>
      <c r="H1382" s="294">
        <v>170.5</v>
      </c>
      <c r="I1382" s="306">
        <v>0.59499999999999997</v>
      </c>
      <c r="J1382" s="307">
        <v>0.56999999999999995</v>
      </c>
      <c r="K1382" s="294">
        <f t="shared" si="196"/>
        <v>2.3056000000000001</v>
      </c>
      <c r="L1382" s="294">
        <f t="shared" si="197"/>
        <v>0.52401864779616036</v>
      </c>
      <c r="M1382" s="309">
        <f>$I$1382*L1382*(G1382/K1382)+$J$1382</f>
        <v>1.8899621729715843</v>
      </c>
      <c r="N1382" s="294">
        <v>0</v>
      </c>
      <c r="O1382" s="294" t="str">
        <f t="shared" si="203"/>
        <v/>
      </c>
      <c r="P1382" s="294">
        <f>AVERAGE(O1382:O1393)</f>
        <v>4.7938395043735991</v>
      </c>
    </row>
    <row r="1383" spans="1:16">
      <c r="A1383" s="294"/>
      <c r="B1383" s="294" t="s">
        <v>398</v>
      </c>
      <c r="C1383" s="294" t="s">
        <v>608</v>
      </c>
      <c r="D1383" s="295" t="s">
        <v>1067</v>
      </c>
      <c r="E1383" s="296">
        <v>2</v>
      </c>
      <c r="F1383" s="294">
        <v>7.7</v>
      </c>
      <c r="G1383" s="308">
        <f t="shared" si="208"/>
        <v>11.611967</v>
      </c>
      <c r="H1383" s="294">
        <v>158</v>
      </c>
      <c r="I1383" s="297"/>
      <c r="J1383" s="297"/>
      <c r="K1383" s="294">
        <f t="shared" si="196"/>
        <v>2.3151999999999999</v>
      </c>
      <c r="L1383" s="294">
        <f t="shared" si="197"/>
        <v>0.51831765727127777</v>
      </c>
      <c r="M1383" s="309">
        <f t="shared" ref="M1383:M1393" si="209">$I$1382*L1383*(G1383/K1383)+$J$1382</f>
        <v>2.1167860579613316</v>
      </c>
      <c r="N1383" s="294">
        <v>0</v>
      </c>
      <c r="O1383" s="294" t="str">
        <f t="shared" si="203"/>
        <v/>
      </c>
      <c r="P1383" s="294"/>
    </row>
    <row r="1384" spans="1:16">
      <c r="A1384" s="294"/>
      <c r="B1384" s="294" t="s">
        <v>398</v>
      </c>
      <c r="C1384" s="294" t="s">
        <v>608</v>
      </c>
      <c r="D1384" s="295" t="s">
        <v>1067</v>
      </c>
      <c r="E1384" s="296">
        <v>3</v>
      </c>
      <c r="F1384" s="294">
        <v>11.3</v>
      </c>
      <c r="G1384" s="308">
        <f t="shared" si="208"/>
        <v>14.21866412</v>
      </c>
      <c r="H1384" s="294">
        <v>179.4</v>
      </c>
      <c r="I1384" s="297"/>
      <c r="J1384" s="297"/>
      <c r="K1384" s="294">
        <f t="shared" si="196"/>
        <v>2.2288000000000001</v>
      </c>
      <c r="L1384" s="294">
        <f t="shared" si="197"/>
        <v>0.56899694033307113</v>
      </c>
      <c r="M1384" s="309">
        <f t="shared" si="209"/>
        <v>2.7298052521727625</v>
      </c>
      <c r="N1384" s="294">
        <v>0</v>
      </c>
      <c r="O1384" s="294" t="str">
        <f t="shared" si="203"/>
        <v/>
      </c>
      <c r="P1384" s="294"/>
    </row>
    <row r="1385" spans="1:16">
      <c r="A1385" s="294"/>
      <c r="B1385" s="294" t="s">
        <v>398</v>
      </c>
      <c r="C1385" s="294" t="s">
        <v>608</v>
      </c>
      <c r="D1385" s="295" t="s">
        <v>1067</v>
      </c>
      <c r="E1385" s="296">
        <v>4</v>
      </c>
      <c r="F1385" s="294">
        <v>17.2</v>
      </c>
      <c r="G1385" s="308">
        <f t="shared" si="208"/>
        <v>13.98711346</v>
      </c>
      <c r="H1385" s="294">
        <v>132.19999999999999</v>
      </c>
      <c r="I1385" s="297"/>
      <c r="J1385" s="297"/>
      <c r="K1385" s="294">
        <f t="shared" si="196"/>
        <v>2.0872000000000002</v>
      </c>
      <c r="L1385" s="294">
        <f t="shared" si="197"/>
        <v>0.64708539575733404</v>
      </c>
      <c r="M1385" s="309">
        <f t="shared" si="209"/>
        <v>3.1501359836222043</v>
      </c>
      <c r="N1385" s="294">
        <v>0</v>
      </c>
      <c r="O1385" s="294" t="str">
        <f t="shared" si="203"/>
        <v/>
      </c>
      <c r="P1385" s="294"/>
    </row>
    <row r="1386" spans="1:16">
      <c r="A1386" s="294"/>
      <c r="B1386" s="294" t="s">
        <v>398</v>
      </c>
      <c r="C1386" s="294" t="s">
        <v>608</v>
      </c>
      <c r="D1386" s="295" t="s">
        <v>1067</v>
      </c>
      <c r="E1386" s="296">
        <v>5</v>
      </c>
      <c r="F1386" s="294">
        <v>20.3</v>
      </c>
      <c r="G1386" s="308">
        <f t="shared" si="208"/>
        <v>19.504218000000002</v>
      </c>
      <c r="H1386" s="294">
        <v>214</v>
      </c>
      <c r="I1386" s="297"/>
      <c r="J1386" s="297"/>
      <c r="K1386" s="294">
        <f t="shared" si="196"/>
        <v>2.0127999999999999</v>
      </c>
      <c r="L1386" s="294">
        <f t="shared" si="197"/>
        <v>0.6845562077113948</v>
      </c>
      <c r="M1386" s="309">
        <f t="shared" si="209"/>
        <v>4.5168806823984076</v>
      </c>
      <c r="N1386" s="294">
        <v>0</v>
      </c>
      <c r="O1386" s="294" t="str">
        <f t="shared" si="203"/>
        <v/>
      </c>
      <c r="P1386" s="294"/>
    </row>
    <row r="1387" spans="1:16">
      <c r="A1387" s="294"/>
      <c r="B1387" s="294" t="s">
        <v>398</v>
      </c>
      <c r="C1387" s="294" t="s">
        <v>608</v>
      </c>
      <c r="D1387" s="295" t="s">
        <v>1067</v>
      </c>
      <c r="E1387" s="296">
        <v>6</v>
      </c>
      <c r="F1387" s="294">
        <v>21.8</v>
      </c>
      <c r="G1387" s="308">
        <f t="shared" si="208"/>
        <v>13.79331131</v>
      </c>
      <c r="H1387" s="294">
        <v>86.7</v>
      </c>
      <c r="I1387" s="297"/>
      <c r="J1387" s="297"/>
      <c r="K1387" s="294">
        <f t="shared" si="196"/>
        <v>1.9767999999999999</v>
      </c>
      <c r="L1387" s="294">
        <f t="shared" si="197"/>
        <v>0.70164698620294608</v>
      </c>
      <c r="M1387" s="309">
        <f t="shared" si="209"/>
        <v>3.4830063788447001</v>
      </c>
      <c r="N1387" s="294">
        <v>0</v>
      </c>
      <c r="O1387" s="294" t="str">
        <f t="shared" si="203"/>
        <v/>
      </c>
      <c r="P1387" s="294"/>
    </row>
    <row r="1388" spans="1:16">
      <c r="A1388" s="294"/>
      <c r="B1388" s="294" t="s">
        <v>398</v>
      </c>
      <c r="C1388" s="294" t="s">
        <v>608</v>
      </c>
      <c r="D1388" s="295" t="s">
        <v>1067</v>
      </c>
      <c r="E1388" s="296">
        <v>7</v>
      </c>
      <c r="F1388" s="294">
        <v>25.8</v>
      </c>
      <c r="G1388" s="308">
        <f t="shared" si="208"/>
        <v>16.032701709999998</v>
      </c>
      <c r="H1388" s="294">
        <v>144.69999999999999</v>
      </c>
      <c r="I1388" s="297"/>
      <c r="J1388" s="297"/>
      <c r="K1388" s="294">
        <f t="shared" si="196"/>
        <v>1.8807999999999998</v>
      </c>
      <c r="L1388" s="294">
        <f t="shared" si="197"/>
        <v>0.74366850574375487</v>
      </c>
      <c r="M1388" s="309">
        <f t="shared" si="209"/>
        <v>4.3419024444959966</v>
      </c>
      <c r="N1388" s="294">
        <v>1</v>
      </c>
      <c r="O1388" s="294">
        <f t="shared" si="203"/>
        <v>4.3419024444959966</v>
      </c>
      <c r="P1388" s="294"/>
    </row>
    <row r="1389" spans="1:16">
      <c r="A1389" s="294"/>
      <c r="B1389" s="294" t="s">
        <v>398</v>
      </c>
      <c r="C1389" s="294" t="s">
        <v>608</v>
      </c>
      <c r="D1389" s="295" t="s">
        <v>1067</v>
      </c>
      <c r="E1389" s="296">
        <v>8</v>
      </c>
      <c r="F1389" s="294">
        <v>27.2</v>
      </c>
      <c r="G1389" s="308">
        <f t="shared" si="208"/>
        <v>19.172768290000004</v>
      </c>
      <c r="H1389" s="294">
        <v>230.3</v>
      </c>
      <c r="I1389" s="297"/>
      <c r="J1389" s="297"/>
      <c r="K1389" s="294">
        <f t="shared" si="196"/>
        <v>1.8472</v>
      </c>
      <c r="L1389" s="294">
        <f t="shared" si="197"/>
        <v>0.75712202532428419</v>
      </c>
      <c r="M1389" s="309">
        <f t="shared" si="209"/>
        <v>5.2457765642512015</v>
      </c>
      <c r="N1389" s="294">
        <v>1</v>
      </c>
      <c r="O1389" s="294">
        <f t="shared" si="203"/>
        <v>5.2457765642512015</v>
      </c>
      <c r="P1389" s="294"/>
    </row>
    <row r="1390" spans="1:16">
      <c r="A1390" s="294"/>
      <c r="B1390" s="294" t="s">
        <v>398</v>
      </c>
      <c r="C1390" s="294" t="s">
        <v>608</v>
      </c>
      <c r="D1390" s="295" t="s">
        <v>1067</v>
      </c>
      <c r="E1390" s="296">
        <v>9</v>
      </c>
      <c r="F1390" s="294">
        <v>23.6</v>
      </c>
      <c r="G1390" s="308">
        <f t="shared" si="208"/>
        <v>14.30764666</v>
      </c>
      <c r="H1390" s="294">
        <v>162.19999999999999</v>
      </c>
      <c r="I1390" s="297"/>
      <c r="J1390" s="297"/>
      <c r="K1390" s="294">
        <f t="shared" si="196"/>
        <v>1.9336</v>
      </c>
      <c r="L1390" s="294">
        <f t="shared" si="197"/>
        <v>0.72120738477570068</v>
      </c>
      <c r="M1390" s="309">
        <f t="shared" si="209"/>
        <v>3.7452556660230996</v>
      </c>
      <c r="N1390" s="294">
        <v>0</v>
      </c>
      <c r="O1390" s="294" t="str">
        <f t="shared" si="203"/>
        <v/>
      </c>
      <c r="P1390" s="294"/>
    </row>
    <row r="1391" spans="1:16">
      <c r="A1391" s="294"/>
      <c r="B1391" s="294" t="s">
        <v>398</v>
      </c>
      <c r="C1391" s="294" t="s">
        <v>608</v>
      </c>
      <c r="D1391" s="295" t="s">
        <v>1067</v>
      </c>
      <c r="E1391" s="296">
        <v>10</v>
      </c>
      <c r="F1391" s="294">
        <v>18.899999999999999</v>
      </c>
      <c r="G1391" s="308">
        <f t="shared" si="208"/>
        <v>15.30306006</v>
      </c>
      <c r="H1391" s="294">
        <v>250.2</v>
      </c>
      <c r="I1391" s="297"/>
      <c r="J1391" s="297"/>
      <c r="K1391" s="294">
        <f t="shared" si="196"/>
        <v>2.0464000000000002</v>
      </c>
      <c r="L1391" s="294">
        <f t="shared" si="197"/>
        <v>0.66798094574788913</v>
      </c>
      <c r="M1391" s="309">
        <f t="shared" si="209"/>
        <v>3.5421368043250343</v>
      </c>
      <c r="N1391" s="294">
        <v>0</v>
      </c>
      <c r="O1391" s="294" t="str">
        <f t="shared" si="203"/>
        <v/>
      </c>
      <c r="P1391" s="294"/>
    </row>
    <row r="1392" spans="1:16">
      <c r="A1392" s="294"/>
      <c r="B1392" s="294" t="s">
        <v>398</v>
      </c>
      <c r="C1392" s="294" t="s">
        <v>608</v>
      </c>
      <c r="D1392" s="295" t="s">
        <v>1067</v>
      </c>
      <c r="E1392" s="296">
        <v>11</v>
      </c>
      <c r="F1392" s="294">
        <v>16.600000000000001</v>
      </c>
      <c r="G1392" s="308">
        <f t="shared" si="208"/>
        <v>7.6872906000000008</v>
      </c>
      <c r="H1392" s="294">
        <v>112</v>
      </c>
      <c r="I1392" s="297"/>
      <c r="J1392" s="297"/>
      <c r="K1392" s="294">
        <f t="shared" si="196"/>
        <v>2.1015999999999999</v>
      </c>
      <c r="L1392" s="294">
        <f t="shared" si="197"/>
        <v>0.63951976529868115</v>
      </c>
      <c r="M1392" s="309">
        <f t="shared" si="209"/>
        <v>1.9618555846856593</v>
      </c>
      <c r="N1392" s="294">
        <v>0</v>
      </c>
      <c r="O1392" s="294" t="str">
        <f t="shared" si="203"/>
        <v/>
      </c>
      <c r="P1392" s="294"/>
    </row>
    <row r="1393" spans="1:16">
      <c r="A1393" s="294"/>
      <c r="B1393" s="294" t="s">
        <v>398</v>
      </c>
      <c r="C1393" s="294" t="s">
        <v>608</v>
      </c>
      <c r="D1393" s="295" t="s">
        <v>1067</v>
      </c>
      <c r="E1393" s="296">
        <v>12</v>
      </c>
      <c r="F1393" s="294">
        <v>11.4</v>
      </c>
      <c r="G1393" s="308">
        <f t="shared" si="208"/>
        <v>9.054991789999999</v>
      </c>
      <c r="H1393" s="294">
        <v>170.3</v>
      </c>
      <c r="I1393" s="297"/>
      <c r="J1393" s="297"/>
      <c r="K1393" s="294">
        <f t="shared" si="196"/>
        <v>2.2263999999999999</v>
      </c>
      <c r="L1393" s="294">
        <f t="shared" si="197"/>
        <v>0.57037959366923263</v>
      </c>
      <c r="M1393" s="309">
        <f t="shared" si="209"/>
        <v>1.9502756063716178</v>
      </c>
      <c r="N1393" s="294">
        <v>0</v>
      </c>
      <c r="O1393" s="294" t="str">
        <f t="shared" si="203"/>
        <v/>
      </c>
      <c r="P1393" s="294"/>
    </row>
    <row r="1394" spans="1:16">
      <c r="A1394" s="294">
        <v>117</v>
      </c>
      <c r="B1394" s="294" t="s">
        <v>398</v>
      </c>
      <c r="C1394" s="294" t="s">
        <v>609</v>
      </c>
      <c r="D1394" s="295" t="s">
        <v>1067</v>
      </c>
      <c r="E1394" s="296">
        <v>1</v>
      </c>
      <c r="F1394" s="294">
        <v>9.3000000000000007</v>
      </c>
      <c r="G1394" s="308">
        <f t="shared" si="208"/>
        <v>11.481346990000002</v>
      </c>
      <c r="H1394" s="294">
        <v>208.3</v>
      </c>
      <c r="I1394" s="306">
        <v>0.60899999999999999</v>
      </c>
      <c r="J1394" s="307">
        <v>1.74</v>
      </c>
      <c r="K1394" s="294">
        <f t="shared" si="196"/>
        <v>2.2768000000000002</v>
      </c>
      <c r="L1394" s="294">
        <f t="shared" si="197"/>
        <v>0.5410323242451861</v>
      </c>
      <c r="M1394" s="309">
        <f>$I$1394*L1394*(G1394/K1394)+$J$1394</f>
        <v>3.4015310642596144</v>
      </c>
      <c r="N1394" s="294">
        <v>0</v>
      </c>
      <c r="O1394" s="294" t="str">
        <f t="shared" si="203"/>
        <v/>
      </c>
      <c r="P1394" s="294">
        <f>AVERAGE(O1394:O1405)</f>
        <v>6.1603682077654067</v>
      </c>
    </row>
    <row r="1395" spans="1:16">
      <c r="A1395" s="294"/>
      <c r="B1395" s="294" t="s">
        <v>398</v>
      </c>
      <c r="C1395" s="294" t="s">
        <v>609</v>
      </c>
      <c r="D1395" s="295" t="s">
        <v>1067</v>
      </c>
      <c r="E1395" s="296">
        <v>2</v>
      </c>
      <c r="F1395" s="294">
        <v>9.1</v>
      </c>
      <c r="G1395" s="308">
        <f t="shared" si="208"/>
        <v>12.722637919999999</v>
      </c>
      <c r="H1395" s="294">
        <v>182.4</v>
      </c>
      <c r="I1395" s="297"/>
      <c r="J1395" s="297"/>
      <c r="K1395" s="294">
        <f t="shared" si="196"/>
        <v>2.2816000000000001</v>
      </c>
      <c r="L1395" s="294">
        <f t="shared" si="197"/>
        <v>0.53820717400547546</v>
      </c>
      <c r="M1395" s="309">
        <f t="shared" ref="M1395:M1405" si="210">$I$1394*L1395*(G1395/K1395)+$J$1394</f>
        <v>3.5676979906636666</v>
      </c>
      <c r="N1395" s="294">
        <v>0</v>
      </c>
      <c r="O1395" s="294" t="str">
        <f t="shared" si="203"/>
        <v/>
      </c>
      <c r="P1395" s="294"/>
    </row>
    <row r="1396" spans="1:16">
      <c r="A1396" s="294"/>
      <c r="B1396" s="294" t="s">
        <v>398</v>
      </c>
      <c r="C1396" s="294" t="s">
        <v>609</v>
      </c>
      <c r="D1396" s="295" t="s">
        <v>1067</v>
      </c>
      <c r="E1396" s="296">
        <v>3</v>
      </c>
      <c r="F1396" s="294">
        <v>12.6</v>
      </c>
      <c r="G1396" s="308">
        <f t="shared" si="208"/>
        <v>13.991067620000001</v>
      </c>
      <c r="H1396" s="294">
        <v>174.4</v>
      </c>
      <c r="I1396" s="297"/>
      <c r="J1396" s="297"/>
      <c r="K1396" s="294">
        <f t="shared" si="196"/>
        <v>2.1976</v>
      </c>
      <c r="L1396" s="294">
        <f t="shared" si="197"/>
        <v>0.58683640404243798</v>
      </c>
      <c r="M1396" s="309">
        <f t="shared" si="210"/>
        <v>4.0152889046226585</v>
      </c>
      <c r="N1396" s="294">
        <v>0</v>
      </c>
      <c r="O1396" s="294" t="str">
        <f t="shared" si="203"/>
        <v/>
      </c>
      <c r="P1396" s="294"/>
    </row>
    <row r="1397" spans="1:16">
      <c r="A1397" s="294"/>
      <c r="B1397" s="294" t="s">
        <v>398</v>
      </c>
      <c r="C1397" s="294" t="s">
        <v>609</v>
      </c>
      <c r="D1397" s="295" t="s">
        <v>1067</v>
      </c>
      <c r="E1397" s="296">
        <v>4</v>
      </c>
      <c r="F1397" s="294">
        <v>18.2</v>
      </c>
      <c r="G1397" s="308">
        <f t="shared" si="208"/>
        <v>13.90973065</v>
      </c>
      <c r="H1397" s="294">
        <v>130.5</v>
      </c>
      <c r="I1397" s="297"/>
      <c r="J1397" s="297"/>
      <c r="K1397" s="294">
        <f t="shared" si="196"/>
        <v>2.0632000000000001</v>
      </c>
      <c r="L1397" s="294">
        <f t="shared" si="197"/>
        <v>0.65947610324529615</v>
      </c>
      <c r="M1397" s="309">
        <f t="shared" si="210"/>
        <v>4.4476576165415267</v>
      </c>
      <c r="N1397" s="294">
        <v>0</v>
      </c>
      <c r="O1397" s="294" t="str">
        <f t="shared" si="203"/>
        <v/>
      </c>
      <c r="P1397" s="294"/>
    </row>
    <row r="1398" spans="1:16">
      <c r="A1398" s="294"/>
      <c r="B1398" s="294" t="s">
        <v>398</v>
      </c>
      <c r="C1398" s="294" t="s">
        <v>609</v>
      </c>
      <c r="D1398" s="295" t="s">
        <v>1067</v>
      </c>
      <c r="E1398" s="296">
        <v>5</v>
      </c>
      <c r="F1398" s="294">
        <v>20.9</v>
      </c>
      <c r="G1398" s="308">
        <f t="shared" si="208"/>
        <v>19.36310817</v>
      </c>
      <c r="H1398" s="294">
        <v>210.9</v>
      </c>
      <c r="I1398" s="297"/>
      <c r="J1398" s="297"/>
      <c r="K1398" s="294">
        <f t="shared" si="196"/>
        <v>1.9984000000000002</v>
      </c>
      <c r="L1398" s="294">
        <f t="shared" si="197"/>
        <v>0.69147707180847306</v>
      </c>
      <c r="M1398" s="309">
        <f t="shared" si="210"/>
        <v>5.8202589627441528</v>
      </c>
      <c r="N1398" s="294">
        <v>0</v>
      </c>
      <c r="O1398" s="294" t="str">
        <f t="shared" si="203"/>
        <v/>
      </c>
      <c r="P1398" s="294"/>
    </row>
    <row r="1399" spans="1:16">
      <c r="A1399" s="294"/>
      <c r="B1399" s="294" t="s">
        <v>398</v>
      </c>
      <c r="C1399" s="294" t="s">
        <v>609</v>
      </c>
      <c r="D1399" s="295" t="s">
        <v>1067</v>
      </c>
      <c r="E1399" s="296">
        <v>6</v>
      </c>
      <c r="F1399" s="294">
        <v>22.1</v>
      </c>
      <c r="G1399" s="308">
        <f t="shared" si="208"/>
        <v>13.265287430000001</v>
      </c>
      <c r="H1399" s="294">
        <v>75.099999999999994</v>
      </c>
      <c r="I1399" s="297"/>
      <c r="J1399" s="297"/>
      <c r="K1399" s="294">
        <f t="shared" si="196"/>
        <v>1.9695999999999998</v>
      </c>
      <c r="L1399" s="294">
        <f t="shared" si="197"/>
        <v>0.70497978087041202</v>
      </c>
      <c r="M1399" s="309">
        <f t="shared" si="210"/>
        <v>4.6315624950146823</v>
      </c>
      <c r="N1399" s="294">
        <v>0</v>
      </c>
      <c r="O1399" s="294" t="str">
        <f t="shared" si="203"/>
        <v/>
      </c>
      <c r="P1399" s="294"/>
    </row>
    <row r="1400" spans="1:16">
      <c r="A1400" s="294"/>
      <c r="B1400" s="294" t="s">
        <v>398</v>
      </c>
      <c r="C1400" s="294" t="s">
        <v>609</v>
      </c>
      <c r="D1400" s="295" t="s">
        <v>1067</v>
      </c>
      <c r="E1400" s="296">
        <v>7</v>
      </c>
      <c r="F1400" s="294">
        <v>25.4</v>
      </c>
      <c r="G1400" s="308">
        <f t="shared" si="208"/>
        <v>16.219330839999998</v>
      </c>
      <c r="H1400" s="294">
        <v>148.80000000000001</v>
      </c>
      <c r="I1400" s="297"/>
      <c r="J1400" s="297"/>
      <c r="K1400" s="294">
        <f t="shared" si="196"/>
        <v>1.8904000000000001</v>
      </c>
      <c r="L1400" s="294">
        <f t="shared" si="197"/>
        <v>0.73970436015123497</v>
      </c>
      <c r="M1400" s="309">
        <f t="shared" si="210"/>
        <v>5.6050462506981509</v>
      </c>
      <c r="N1400" s="294">
        <v>1</v>
      </c>
      <c r="O1400" s="294">
        <f t="shared" si="203"/>
        <v>5.6050462506981509</v>
      </c>
      <c r="P1400" s="294"/>
    </row>
    <row r="1401" spans="1:16">
      <c r="A1401" s="294"/>
      <c r="B1401" s="294" t="s">
        <v>398</v>
      </c>
      <c r="C1401" s="294" t="s">
        <v>609</v>
      </c>
      <c r="D1401" s="295" t="s">
        <v>1067</v>
      </c>
      <c r="E1401" s="296">
        <v>8</v>
      </c>
      <c r="F1401" s="294">
        <v>27.5</v>
      </c>
      <c r="G1401" s="308">
        <f t="shared" si="208"/>
        <v>19.782726910000001</v>
      </c>
      <c r="H1401" s="294">
        <v>243.7</v>
      </c>
      <c r="I1401" s="297"/>
      <c r="J1401" s="297"/>
      <c r="K1401" s="294">
        <f t="shared" si="196"/>
        <v>1.8399999999999999</v>
      </c>
      <c r="L1401" s="294">
        <f t="shared" si="197"/>
        <v>0.75991970074926962</v>
      </c>
      <c r="M1401" s="309">
        <f t="shared" si="210"/>
        <v>6.7156901648326635</v>
      </c>
      <c r="N1401" s="294">
        <v>1</v>
      </c>
      <c r="O1401" s="294">
        <f t="shared" si="203"/>
        <v>6.7156901648326635</v>
      </c>
      <c r="P1401" s="294"/>
    </row>
    <row r="1402" spans="1:16">
      <c r="A1402" s="294"/>
      <c r="B1402" s="294" t="s">
        <v>398</v>
      </c>
      <c r="C1402" s="294" t="s">
        <v>609</v>
      </c>
      <c r="D1402" s="295" t="s">
        <v>1067</v>
      </c>
      <c r="E1402" s="296">
        <v>9</v>
      </c>
      <c r="F1402" s="294">
        <v>24.5</v>
      </c>
      <c r="G1402" s="308">
        <f t="shared" si="208"/>
        <v>14.535243159999998</v>
      </c>
      <c r="H1402" s="294">
        <v>167.2</v>
      </c>
      <c r="I1402" s="297"/>
      <c r="J1402" s="297"/>
      <c r="K1402" s="294">
        <f t="shared" si="196"/>
        <v>1.9119999999999999</v>
      </c>
      <c r="L1402" s="294">
        <f t="shared" si="197"/>
        <v>0.73059013321207966</v>
      </c>
      <c r="M1402" s="309">
        <f t="shared" si="210"/>
        <v>5.1224042306743884</v>
      </c>
      <c r="N1402" s="294">
        <v>0</v>
      </c>
      <c r="O1402" s="294" t="str">
        <f t="shared" si="203"/>
        <v/>
      </c>
      <c r="P1402" s="294"/>
    </row>
    <row r="1403" spans="1:16">
      <c r="A1403" s="294"/>
      <c r="B1403" s="294" t="s">
        <v>398</v>
      </c>
      <c r="C1403" s="294" t="s">
        <v>609</v>
      </c>
      <c r="D1403" s="295" t="s">
        <v>1067</v>
      </c>
      <c r="E1403" s="296">
        <v>10</v>
      </c>
      <c r="F1403" s="294">
        <v>20.9</v>
      </c>
      <c r="G1403" s="308">
        <f t="shared" si="208"/>
        <v>15.23478111</v>
      </c>
      <c r="H1403" s="294">
        <v>248.7</v>
      </c>
      <c r="I1403" s="297"/>
      <c r="J1403" s="297"/>
      <c r="K1403" s="294">
        <f t="shared" si="196"/>
        <v>1.9984000000000002</v>
      </c>
      <c r="L1403" s="294">
        <f t="shared" si="197"/>
        <v>0.69147707180847306</v>
      </c>
      <c r="M1403" s="309">
        <f t="shared" si="210"/>
        <v>4.950324066971465</v>
      </c>
      <c r="N1403" s="294">
        <v>0</v>
      </c>
      <c r="O1403" s="294" t="str">
        <f t="shared" si="203"/>
        <v/>
      </c>
      <c r="P1403" s="294"/>
    </row>
    <row r="1404" spans="1:16">
      <c r="A1404" s="294"/>
      <c r="B1404" s="294" t="s">
        <v>398</v>
      </c>
      <c r="C1404" s="294" t="s">
        <v>609</v>
      </c>
      <c r="D1404" s="295" t="s">
        <v>1067</v>
      </c>
      <c r="E1404" s="296">
        <v>11</v>
      </c>
      <c r="F1404" s="294">
        <v>18.100000000000001</v>
      </c>
      <c r="G1404" s="308">
        <f t="shared" si="208"/>
        <v>8.0059256999999988</v>
      </c>
      <c r="H1404" s="294">
        <v>119</v>
      </c>
      <c r="I1404" s="297"/>
      <c r="J1404" s="297"/>
      <c r="K1404" s="294">
        <f t="shared" si="196"/>
        <v>2.0655999999999999</v>
      </c>
      <c r="L1404" s="294">
        <f t="shared" si="197"/>
        <v>0.65824963683932147</v>
      </c>
      <c r="M1404" s="309">
        <f t="shared" si="210"/>
        <v>3.2937217708723097</v>
      </c>
      <c r="N1404" s="294">
        <v>0</v>
      </c>
      <c r="O1404" s="294" t="str">
        <f t="shared" si="203"/>
        <v/>
      </c>
      <c r="P1404" s="294"/>
    </row>
    <row r="1405" spans="1:16">
      <c r="A1405" s="294"/>
      <c r="B1405" s="294" t="s">
        <v>398</v>
      </c>
      <c r="C1405" s="294" t="s">
        <v>609</v>
      </c>
      <c r="D1405" s="295" t="s">
        <v>1067</v>
      </c>
      <c r="E1405" s="296">
        <v>12</v>
      </c>
      <c r="F1405" s="294">
        <v>13</v>
      </c>
      <c r="G1405" s="308">
        <f t="shared" si="208"/>
        <v>9.4373539099999988</v>
      </c>
      <c r="H1405" s="294">
        <v>178.7</v>
      </c>
      <c r="I1405" s="297"/>
      <c r="J1405" s="297"/>
      <c r="K1405" s="294">
        <f t="shared" si="196"/>
        <v>2.1880000000000002</v>
      </c>
      <c r="L1405" s="294">
        <f t="shared" si="197"/>
        <v>0.59226272182177631</v>
      </c>
      <c r="M1405" s="309">
        <f t="shared" si="210"/>
        <v>3.295731391380702</v>
      </c>
      <c r="N1405" s="294">
        <v>0</v>
      </c>
      <c r="O1405" s="294" t="str">
        <f t="shared" si="203"/>
        <v/>
      </c>
      <c r="P1405" s="294"/>
    </row>
    <row r="1406" spans="1:16">
      <c r="A1406" s="294">
        <v>118</v>
      </c>
      <c r="B1406" s="294" t="s">
        <v>398</v>
      </c>
      <c r="C1406" s="294" t="s">
        <v>610</v>
      </c>
      <c r="D1406" s="295" t="s">
        <v>1067</v>
      </c>
      <c r="E1406" s="296">
        <v>1</v>
      </c>
      <c r="F1406" s="294">
        <v>8</v>
      </c>
      <c r="G1406" s="308">
        <f t="shared" si="208"/>
        <v>10.124871850000002</v>
      </c>
      <c r="H1406" s="294">
        <v>178.5</v>
      </c>
      <c r="I1406" s="306">
        <v>0.60799999999999998</v>
      </c>
      <c r="J1406" s="307">
        <v>1.41</v>
      </c>
      <c r="K1406" s="294">
        <f t="shared" si="196"/>
        <v>2.3079999999999998</v>
      </c>
      <c r="L1406" s="294">
        <f t="shared" si="197"/>
        <v>0.52259463248663729</v>
      </c>
      <c r="M1406" s="309">
        <f>$I$1406*L1406*(G1406/K1406)+$J$1406</f>
        <v>2.8038699478000133</v>
      </c>
      <c r="N1406" s="294">
        <v>0</v>
      </c>
      <c r="O1406" s="294" t="str">
        <f t="shared" si="203"/>
        <v/>
      </c>
      <c r="P1406" s="294">
        <f>AVERAGE(O1406:O1417)</f>
        <v>5.6844294702831295</v>
      </c>
    </row>
    <row r="1407" spans="1:16">
      <c r="A1407" s="294"/>
      <c r="B1407" s="294" t="s">
        <v>398</v>
      </c>
      <c r="C1407" s="294" t="s">
        <v>610</v>
      </c>
      <c r="D1407" s="295" t="s">
        <v>1067</v>
      </c>
      <c r="E1407" s="296">
        <v>2</v>
      </c>
      <c r="F1407" s="294">
        <v>7.8</v>
      </c>
      <c r="G1407" s="308">
        <f t="shared" si="208"/>
        <v>13.155071270000002</v>
      </c>
      <c r="H1407" s="294">
        <v>191.9</v>
      </c>
      <c r="I1407" s="297"/>
      <c r="J1407" s="297"/>
      <c r="K1407" s="294">
        <f t="shared" si="196"/>
        <v>2.3128000000000002</v>
      </c>
      <c r="L1407" s="294">
        <f t="shared" si="197"/>
        <v>0.51974411192253844</v>
      </c>
      <c r="M1407" s="309">
        <f t="shared" ref="M1407:M1417" si="211">$I$1406*L1407*(G1407/K1407)+$J$1406</f>
        <v>3.2074146780432118</v>
      </c>
      <c r="N1407" s="294">
        <v>0</v>
      </c>
      <c r="O1407" s="294" t="str">
        <f t="shared" si="203"/>
        <v/>
      </c>
      <c r="P1407" s="294"/>
    </row>
    <row r="1408" spans="1:16">
      <c r="A1408" s="294"/>
      <c r="B1408" s="294" t="s">
        <v>398</v>
      </c>
      <c r="C1408" s="294" t="s">
        <v>610</v>
      </c>
      <c r="D1408" s="295" t="s">
        <v>1067</v>
      </c>
      <c r="E1408" s="296">
        <v>3</v>
      </c>
      <c r="F1408" s="294">
        <v>11</v>
      </c>
      <c r="G1408" s="308">
        <f t="shared" si="208"/>
        <v>14.773999580000002</v>
      </c>
      <c r="H1408" s="294">
        <v>191.6</v>
      </c>
      <c r="I1408" s="297"/>
      <c r="J1408" s="297"/>
      <c r="K1408" s="294">
        <f t="shared" si="196"/>
        <v>2.2359999999999998</v>
      </c>
      <c r="L1408" s="294">
        <f t="shared" si="197"/>
        <v>0.56483929877471772</v>
      </c>
      <c r="M1408" s="309">
        <f t="shared" si="211"/>
        <v>3.6791059133372208</v>
      </c>
      <c r="N1408" s="294">
        <v>0</v>
      </c>
      <c r="O1408" s="294" t="str">
        <f t="shared" si="203"/>
        <v/>
      </c>
      <c r="P1408" s="294"/>
    </row>
    <row r="1409" spans="1:16">
      <c r="A1409" s="294"/>
      <c r="B1409" s="294" t="s">
        <v>398</v>
      </c>
      <c r="C1409" s="294" t="s">
        <v>610</v>
      </c>
      <c r="D1409" s="295" t="s">
        <v>1067</v>
      </c>
      <c r="E1409" s="296">
        <v>4</v>
      </c>
      <c r="F1409" s="294">
        <v>16.100000000000001</v>
      </c>
      <c r="G1409" s="308">
        <f t="shared" si="208"/>
        <v>14.342164</v>
      </c>
      <c r="H1409" s="294">
        <v>140</v>
      </c>
      <c r="I1409" s="297"/>
      <c r="J1409" s="297"/>
      <c r="K1409" s="294">
        <f t="shared" si="196"/>
        <v>2.1135999999999999</v>
      </c>
      <c r="L1409" s="294">
        <f t="shared" si="197"/>
        <v>0.63314265607977505</v>
      </c>
      <c r="M1409" s="309">
        <f t="shared" si="211"/>
        <v>4.0221435332163953</v>
      </c>
      <c r="N1409" s="294">
        <v>0</v>
      </c>
      <c r="O1409" s="294" t="str">
        <f t="shared" si="203"/>
        <v/>
      </c>
      <c r="P1409" s="294"/>
    </row>
    <row r="1410" spans="1:16">
      <c r="A1410" s="294"/>
      <c r="B1410" s="294" t="s">
        <v>398</v>
      </c>
      <c r="C1410" s="294" t="s">
        <v>610</v>
      </c>
      <c r="D1410" s="295" t="s">
        <v>1067</v>
      </c>
      <c r="E1410" s="296">
        <v>5</v>
      </c>
      <c r="F1410" s="294">
        <v>19.399999999999999</v>
      </c>
      <c r="G1410" s="308">
        <f t="shared" si="208"/>
        <v>20.13693627</v>
      </c>
      <c r="H1410" s="294">
        <v>227.9</v>
      </c>
      <c r="I1410" s="297"/>
      <c r="J1410" s="297"/>
      <c r="K1410" s="294">
        <f t="shared" si="196"/>
        <v>2.0344000000000002</v>
      </c>
      <c r="L1410" s="294">
        <f t="shared" si="197"/>
        <v>0.67396814722434939</v>
      </c>
      <c r="M1410" s="309">
        <f t="shared" si="211"/>
        <v>5.4660191733333434</v>
      </c>
      <c r="N1410" s="294">
        <v>0</v>
      </c>
      <c r="O1410" s="294" t="str">
        <f t="shared" ref="O1410:O1473" si="212">IF(N1410*M1410=0,"",N1410*M1410)</f>
        <v/>
      </c>
      <c r="P1410" s="294"/>
    </row>
    <row r="1411" spans="1:16">
      <c r="A1411" s="294"/>
      <c r="B1411" s="294" t="s">
        <v>398</v>
      </c>
      <c r="C1411" s="294" t="s">
        <v>610</v>
      </c>
      <c r="D1411" s="295" t="s">
        <v>1067</v>
      </c>
      <c r="E1411" s="296">
        <v>6</v>
      </c>
      <c r="F1411" s="294">
        <v>20.8</v>
      </c>
      <c r="G1411" s="308">
        <f t="shared" si="208"/>
        <v>13.442812700000001</v>
      </c>
      <c r="H1411" s="294">
        <v>79</v>
      </c>
      <c r="I1411" s="297"/>
      <c r="J1411" s="297"/>
      <c r="K1411" s="294">
        <f t="shared" si="196"/>
        <v>2.0007999999999999</v>
      </c>
      <c r="L1411" s="294">
        <f t="shared" si="197"/>
        <v>0.69033135678862079</v>
      </c>
      <c r="M1411" s="309">
        <f t="shared" si="211"/>
        <v>4.2299905233855215</v>
      </c>
      <c r="N1411" s="294">
        <v>0</v>
      </c>
      <c r="O1411" s="294" t="str">
        <f t="shared" si="212"/>
        <v/>
      </c>
      <c r="P1411" s="294"/>
    </row>
    <row r="1412" spans="1:16">
      <c r="A1412" s="294"/>
      <c r="B1412" s="294" t="s">
        <v>398</v>
      </c>
      <c r="C1412" s="294" t="s">
        <v>610</v>
      </c>
      <c r="D1412" s="295" t="s">
        <v>1067</v>
      </c>
      <c r="E1412" s="296">
        <v>7</v>
      </c>
      <c r="F1412" s="294">
        <v>24.1</v>
      </c>
      <c r="G1412" s="308">
        <f t="shared" si="208"/>
        <v>16.560725590000001</v>
      </c>
      <c r="H1412" s="294">
        <v>156.30000000000001</v>
      </c>
      <c r="I1412" s="297"/>
      <c r="J1412" s="297"/>
      <c r="K1412" s="294">
        <f t="shared" si="196"/>
        <v>1.9216</v>
      </c>
      <c r="L1412" s="294">
        <f t="shared" si="197"/>
        <v>0.72645305067252686</v>
      </c>
      <c r="M1412" s="309">
        <f t="shared" si="211"/>
        <v>5.2165146194490513</v>
      </c>
      <c r="N1412" s="294">
        <v>1</v>
      </c>
      <c r="O1412" s="294">
        <f t="shared" si="212"/>
        <v>5.2165146194490513</v>
      </c>
      <c r="P1412" s="294"/>
    </row>
    <row r="1413" spans="1:16">
      <c r="A1413" s="294"/>
      <c r="B1413" s="294" t="s">
        <v>398</v>
      </c>
      <c r="C1413" s="294" t="s">
        <v>610</v>
      </c>
      <c r="D1413" s="295" t="s">
        <v>1067</v>
      </c>
      <c r="E1413" s="296">
        <v>8</v>
      </c>
      <c r="F1413" s="294">
        <v>26.2</v>
      </c>
      <c r="G1413" s="308">
        <f t="shared" si="208"/>
        <v>19.523266899999999</v>
      </c>
      <c r="H1413" s="294">
        <v>238</v>
      </c>
      <c r="I1413" s="297"/>
      <c r="J1413" s="297"/>
      <c r="K1413" s="294">
        <f t="shared" si="196"/>
        <v>1.8712</v>
      </c>
      <c r="L1413" s="294">
        <f t="shared" si="197"/>
        <v>0.74757921999786014</v>
      </c>
      <c r="M1413" s="309">
        <f t="shared" si="211"/>
        <v>6.1523443211172086</v>
      </c>
      <c r="N1413" s="294">
        <v>1</v>
      </c>
      <c r="O1413" s="294">
        <f t="shared" si="212"/>
        <v>6.1523443211172086</v>
      </c>
      <c r="P1413" s="294"/>
    </row>
    <row r="1414" spans="1:16">
      <c r="A1414" s="294"/>
      <c r="B1414" s="294" t="s">
        <v>398</v>
      </c>
      <c r="C1414" s="294" t="s">
        <v>610</v>
      </c>
      <c r="D1414" s="295" t="s">
        <v>1067</v>
      </c>
      <c r="E1414" s="296">
        <v>9</v>
      </c>
      <c r="F1414" s="294">
        <v>22.8</v>
      </c>
      <c r="G1414" s="308">
        <f t="shared" si="208"/>
        <v>14.59441825</v>
      </c>
      <c r="H1414" s="294">
        <v>168.5</v>
      </c>
      <c r="I1414" s="297"/>
      <c r="J1414" s="297"/>
      <c r="K1414" s="294">
        <f t="shared" si="196"/>
        <v>1.9527999999999999</v>
      </c>
      <c r="L1414" s="294">
        <f t="shared" si="197"/>
        <v>0.71264368087977559</v>
      </c>
      <c r="M1414" s="309">
        <f t="shared" si="211"/>
        <v>4.6482102236395004</v>
      </c>
      <c r="N1414" s="294">
        <v>0</v>
      </c>
      <c r="O1414" s="294" t="str">
        <f t="shared" si="212"/>
        <v/>
      </c>
      <c r="P1414" s="294"/>
    </row>
    <row r="1415" spans="1:16">
      <c r="A1415" s="294"/>
      <c r="B1415" s="294" t="s">
        <v>398</v>
      </c>
      <c r="C1415" s="294" t="s">
        <v>610</v>
      </c>
      <c r="D1415" s="295" t="s">
        <v>1067</v>
      </c>
      <c r="E1415" s="296">
        <v>10</v>
      </c>
      <c r="F1415" s="294">
        <v>19.399999999999999</v>
      </c>
      <c r="G1415" s="308">
        <f t="shared" si="208"/>
        <v>15.307611989999998</v>
      </c>
      <c r="H1415" s="294">
        <v>250.3</v>
      </c>
      <c r="I1415" s="297"/>
      <c r="J1415" s="297"/>
      <c r="K1415" s="294">
        <f t="shared" si="196"/>
        <v>2.0344000000000002</v>
      </c>
      <c r="L1415" s="294">
        <f t="shared" si="197"/>
        <v>0.67396814722434939</v>
      </c>
      <c r="M1415" s="309">
        <f t="shared" si="211"/>
        <v>4.4932876906844061</v>
      </c>
      <c r="N1415" s="294">
        <v>0</v>
      </c>
      <c r="O1415" s="294" t="str">
        <f t="shared" si="212"/>
        <v/>
      </c>
      <c r="P1415" s="294"/>
    </row>
    <row r="1416" spans="1:16">
      <c r="A1416" s="294"/>
      <c r="B1416" s="294" t="s">
        <v>398</v>
      </c>
      <c r="C1416" s="294" t="s">
        <v>610</v>
      </c>
      <c r="D1416" s="295" t="s">
        <v>1067</v>
      </c>
      <c r="E1416" s="296">
        <v>11</v>
      </c>
      <c r="F1416" s="294">
        <v>16.399999999999999</v>
      </c>
      <c r="G1416" s="308">
        <f t="shared" si="208"/>
        <v>8.4702225599999998</v>
      </c>
      <c r="H1416" s="294">
        <v>129.19999999999999</v>
      </c>
      <c r="I1416" s="297"/>
      <c r="J1416" s="297"/>
      <c r="K1416" s="294">
        <f t="shared" si="196"/>
        <v>2.1063999999999998</v>
      </c>
      <c r="L1416" s="294">
        <f t="shared" si="197"/>
        <v>0.63697670153836161</v>
      </c>
      <c r="M1416" s="309">
        <f t="shared" si="211"/>
        <v>2.9673316236039149</v>
      </c>
      <c r="N1416" s="294">
        <v>0</v>
      </c>
      <c r="O1416" s="294" t="str">
        <f t="shared" si="212"/>
        <v/>
      </c>
      <c r="P1416" s="294"/>
    </row>
    <row r="1417" spans="1:16">
      <c r="A1417" s="294"/>
      <c r="B1417" s="294" t="s">
        <v>398</v>
      </c>
      <c r="C1417" s="294" t="s">
        <v>610</v>
      </c>
      <c r="D1417" s="295" t="s">
        <v>1067</v>
      </c>
      <c r="E1417" s="296">
        <v>12</v>
      </c>
      <c r="F1417" s="294">
        <v>11.8</v>
      </c>
      <c r="G1417" s="308">
        <f t="shared" si="208"/>
        <v>10.065520249999999</v>
      </c>
      <c r="H1417" s="294">
        <v>192.5</v>
      </c>
      <c r="I1417" s="297"/>
      <c r="J1417" s="297"/>
      <c r="K1417" s="294">
        <f t="shared" si="196"/>
        <v>2.2168000000000001</v>
      </c>
      <c r="L1417" s="294">
        <f t="shared" si="197"/>
        <v>0.57589347711044203</v>
      </c>
      <c r="M1417" s="309">
        <f t="shared" si="211"/>
        <v>2.9998474436414755</v>
      </c>
      <c r="N1417" s="294">
        <v>0</v>
      </c>
      <c r="O1417" s="294" t="str">
        <f t="shared" si="212"/>
        <v/>
      </c>
      <c r="P1417" s="294"/>
    </row>
    <row r="1418" spans="1:16">
      <c r="A1418" s="294">
        <v>119</v>
      </c>
      <c r="B1418" s="294" t="s">
        <v>611</v>
      </c>
      <c r="C1418" s="294" t="s">
        <v>611</v>
      </c>
      <c r="D1418" s="295" t="s">
        <v>1067</v>
      </c>
      <c r="E1418" s="296">
        <v>1</v>
      </c>
      <c r="F1418" s="294">
        <v>7.9</v>
      </c>
      <c r="G1418" s="294">
        <v>7.1</v>
      </c>
      <c r="H1418" s="294"/>
      <c r="I1418" s="294">
        <v>0.91500000000000004</v>
      </c>
      <c r="J1418" s="294">
        <v>0.09</v>
      </c>
      <c r="K1418" s="294">
        <f t="shared" si="196"/>
        <v>2.3104</v>
      </c>
      <c r="L1418" s="294">
        <f t="shared" si="197"/>
        <v>0.52116977877129977</v>
      </c>
      <c r="M1418" s="297">
        <f>$I$1418*L1418*(G1418/K1418)+$J$1418</f>
        <v>1.5554516394510689</v>
      </c>
      <c r="N1418" s="294">
        <v>0</v>
      </c>
      <c r="O1418" s="294" t="str">
        <f t="shared" si="212"/>
        <v/>
      </c>
      <c r="P1418" s="294">
        <f>AVERAGE(O1418:O1429)</f>
        <v>6.2820944222279334</v>
      </c>
    </row>
    <row r="1419" spans="1:16">
      <c r="A1419" s="294"/>
      <c r="B1419" s="294" t="s">
        <v>611</v>
      </c>
      <c r="C1419" s="294" t="s">
        <v>611</v>
      </c>
      <c r="D1419" s="295" t="s">
        <v>1067</v>
      </c>
      <c r="E1419" s="296">
        <v>2</v>
      </c>
      <c r="F1419" s="294">
        <v>7.6</v>
      </c>
      <c r="G1419" s="294">
        <v>9.8000000000000007</v>
      </c>
      <c r="H1419" s="294"/>
      <c r="I1419" s="294"/>
      <c r="J1419" s="294"/>
      <c r="K1419" s="294">
        <f t="shared" si="196"/>
        <v>2.3176000000000001</v>
      </c>
      <c r="L1419" s="294">
        <f t="shared" si="197"/>
        <v>0.51689044020520014</v>
      </c>
      <c r="M1419" s="297">
        <f t="shared" ref="M1419:M1429" si="213">$I$1418*L1419*(G1419/K1419)+$J$1418</f>
        <v>2.0898949677770235</v>
      </c>
      <c r="N1419" s="294">
        <v>0</v>
      </c>
      <c r="O1419" s="294" t="str">
        <f t="shared" si="212"/>
        <v/>
      </c>
      <c r="P1419" s="294"/>
    </row>
    <row r="1420" spans="1:16">
      <c r="A1420" s="294"/>
      <c r="B1420" s="294" t="s">
        <v>611</v>
      </c>
      <c r="C1420" s="294" t="s">
        <v>611</v>
      </c>
      <c r="D1420" s="295" t="s">
        <v>1067</v>
      </c>
      <c r="E1420" s="296">
        <v>3</v>
      </c>
      <c r="F1420" s="294">
        <v>11.1</v>
      </c>
      <c r="G1420" s="294">
        <v>15.5</v>
      </c>
      <c r="H1420" s="294"/>
      <c r="I1420" s="294"/>
      <c r="J1420" s="294"/>
      <c r="K1420" s="294">
        <f t="shared" si="196"/>
        <v>2.2336</v>
      </c>
      <c r="L1420" s="294">
        <f t="shared" si="197"/>
        <v>0.566226770414756</v>
      </c>
      <c r="M1420" s="297">
        <f t="shared" si="213"/>
        <v>3.6853219786028282</v>
      </c>
      <c r="N1420" s="294">
        <v>0</v>
      </c>
      <c r="O1420" s="294" t="str">
        <f t="shared" si="212"/>
        <v/>
      </c>
      <c r="P1420" s="294"/>
    </row>
    <row r="1421" spans="1:16">
      <c r="A1421" s="294"/>
      <c r="B1421" s="294" t="s">
        <v>611</v>
      </c>
      <c r="C1421" s="294" t="s">
        <v>611</v>
      </c>
      <c r="D1421" s="295" t="s">
        <v>1067</v>
      </c>
      <c r="E1421" s="296">
        <v>4</v>
      </c>
      <c r="F1421" s="294">
        <v>16.2</v>
      </c>
      <c r="G1421" s="294">
        <v>15.3</v>
      </c>
      <c r="H1421" s="294"/>
      <c r="I1421" s="294"/>
      <c r="J1421" s="294"/>
      <c r="K1421" s="294">
        <f t="shared" si="196"/>
        <v>2.1112000000000002</v>
      </c>
      <c r="L1421" s="294">
        <f t="shared" si="197"/>
        <v>0.63442324399527317</v>
      </c>
      <c r="M1421" s="297">
        <f t="shared" si="213"/>
        <v>4.2969004378134832</v>
      </c>
      <c r="N1421" s="294">
        <v>0</v>
      </c>
      <c r="O1421" s="294" t="str">
        <f t="shared" si="212"/>
        <v/>
      </c>
      <c r="P1421" s="294"/>
    </row>
    <row r="1422" spans="1:16">
      <c r="A1422" s="294"/>
      <c r="B1422" s="294" t="s">
        <v>611</v>
      </c>
      <c r="C1422" s="294" t="s">
        <v>611</v>
      </c>
      <c r="D1422" s="295" t="s">
        <v>1067</v>
      </c>
      <c r="E1422" s="296">
        <v>5</v>
      </c>
      <c r="F1422" s="294">
        <v>20.7</v>
      </c>
      <c r="G1422" s="294">
        <v>19.7</v>
      </c>
      <c r="H1422" s="294"/>
      <c r="I1422" s="294"/>
      <c r="J1422" s="294"/>
      <c r="K1422" s="294">
        <f t="shared" si="196"/>
        <v>2.0032000000000001</v>
      </c>
      <c r="L1422" s="294">
        <f t="shared" si="197"/>
        <v>0.68918252559756299</v>
      </c>
      <c r="M1422" s="297">
        <f t="shared" si="213"/>
        <v>6.2915073957462413</v>
      </c>
      <c r="N1422" s="294">
        <v>0</v>
      </c>
      <c r="O1422" s="294" t="str">
        <f t="shared" si="212"/>
        <v/>
      </c>
      <c r="P1422" s="294"/>
    </row>
    <row r="1423" spans="1:16">
      <c r="A1423" s="294"/>
      <c r="B1423" s="294" t="s">
        <v>611</v>
      </c>
      <c r="C1423" s="294" t="s">
        <v>611</v>
      </c>
      <c r="D1423" s="295" t="s">
        <v>1067</v>
      </c>
      <c r="E1423" s="296">
        <v>6</v>
      </c>
      <c r="F1423" s="294">
        <v>22.6</v>
      </c>
      <c r="G1423" s="294">
        <v>14.6</v>
      </c>
      <c r="H1423" s="294"/>
      <c r="I1423" s="294"/>
      <c r="J1423" s="294"/>
      <c r="K1423" s="294">
        <f t="shared" si="196"/>
        <v>1.9576</v>
      </c>
      <c r="L1423" s="294">
        <f t="shared" si="197"/>
        <v>0.71047016201358149</v>
      </c>
      <c r="M1423" s="297">
        <f t="shared" si="213"/>
        <v>4.9383709104717184</v>
      </c>
      <c r="N1423" s="294">
        <v>0</v>
      </c>
      <c r="O1423" s="294" t="str">
        <f t="shared" si="212"/>
        <v/>
      </c>
      <c r="P1423" s="294"/>
    </row>
    <row r="1424" spans="1:16">
      <c r="A1424" s="294"/>
      <c r="B1424" s="294" t="s">
        <v>611</v>
      </c>
      <c r="C1424" s="294" t="s">
        <v>611</v>
      </c>
      <c r="D1424" s="295" t="s">
        <v>1067</v>
      </c>
      <c r="E1424" s="296">
        <v>7</v>
      </c>
      <c r="F1424" s="294">
        <v>26</v>
      </c>
      <c r="G1424" s="294">
        <v>15.5</v>
      </c>
      <c r="H1424" s="294"/>
      <c r="I1424" s="294"/>
      <c r="J1424" s="294"/>
      <c r="K1424" s="294">
        <f t="shared" si="196"/>
        <v>1.8759999999999999</v>
      </c>
      <c r="L1424" s="294">
        <f t="shared" si="197"/>
        <v>0.74563054537472673</v>
      </c>
      <c r="M1424" s="297">
        <f t="shared" si="213"/>
        <v>5.7269430755741269</v>
      </c>
      <c r="N1424" s="294">
        <v>1</v>
      </c>
      <c r="O1424" s="294">
        <f t="shared" si="212"/>
        <v>5.7269430755741269</v>
      </c>
      <c r="P1424" s="294"/>
    </row>
    <row r="1425" spans="1:16">
      <c r="A1425" s="294"/>
      <c r="B1425" s="294" t="s">
        <v>611</v>
      </c>
      <c r="C1425" s="294" t="s">
        <v>611</v>
      </c>
      <c r="D1425" s="295" t="s">
        <v>1067</v>
      </c>
      <c r="E1425" s="296">
        <v>8</v>
      </c>
      <c r="F1425" s="294">
        <v>27.4</v>
      </c>
      <c r="G1425" s="294">
        <v>17.899999999999999</v>
      </c>
      <c r="H1425" s="294"/>
      <c r="I1425" s="294"/>
      <c r="J1425" s="294"/>
      <c r="K1425" s="294">
        <f t="shared" si="196"/>
        <v>1.8424</v>
      </c>
      <c r="L1425" s="294">
        <f t="shared" si="197"/>
        <v>0.75899048170392402</v>
      </c>
      <c r="M1425" s="297">
        <f t="shared" si="213"/>
        <v>6.8372457688817407</v>
      </c>
      <c r="N1425" s="294">
        <v>1</v>
      </c>
      <c r="O1425" s="294">
        <f t="shared" si="212"/>
        <v>6.8372457688817407</v>
      </c>
      <c r="P1425" s="294"/>
    </row>
    <row r="1426" spans="1:16">
      <c r="A1426" s="294"/>
      <c r="B1426" s="294" t="s">
        <v>611</v>
      </c>
      <c r="C1426" s="294" t="s">
        <v>611</v>
      </c>
      <c r="D1426" s="295" t="s">
        <v>1067</v>
      </c>
      <c r="E1426" s="296">
        <v>9</v>
      </c>
      <c r="F1426" s="294">
        <v>23.2</v>
      </c>
      <c r="G1426" s="294">
        <v>14.5</v>
      </c>
      <c r="H1426" s="294"/>
      <c r="I1426" s="294"/>
      <c r="J1426" s="294"/>
      <c r="K1426" s="294">
        <f t="shared" si="196"/>
        <v>1.9432</v>
      </c>
      <c r="L1426" s="294">
        <f t="shared" si="197"/>
        <v>0.71695168352445504</v>
      </c>
      <c r="M1426" s="297">
        <f t="shared" si="213"/>
        <v>4.9850990434132916</v>
      </c>
      <c r="N1426" s="294">
        <v>0</v>
      </c>
      <c r="O1426" s="294" t="str">
        <f t="shared" si="212"/>
        <v/>
      </c>
      <c r="P1426" s="294"/>
    </row>
    <row r="1427" spans="1:16">
      <c r="A1427" s="294"/>
      <c r="B1427" s="294" t="s">
        <v>611</v>
      </c>
      <c r="C1427" s="294" t="s">
        <v>611</v>
      </c>
      <c r="D1427" s="295" t="s">
        <v>1067</v>
      </c>
      <c r="E1427" s="296">
        <v>10</v>
      </c>
      <c r="F1427" s="294">
        <v>18.899999999999999</v>
      </c>
      <c r="G1427" s="294">
        <v>15.2</v>
      </c>
      <c r="H1427" s="294"/>
      <c r="I1427" s="294"/>
      <c r="J1427" s="294"/>
      <c r="K1427" s="294">
        <f t="shared" si="196"/>
        <v>2.0464000000000002</v>
      </c>
      <c r="L1427" s="294">
        <f t="shared" si="197"/>
        <v>0.66798094574788913</v>
      </c>
      <c r="M1427" s="297">
        <f t="shared" si="213"/>
        <v>4.6298157708471663</v>
      </c>
      <c r="N1427" s="294">
        <v>0</v>
      </c>
      <c r="O1427" s="294" t="str">
        <f t="shared" si="212"/>
        <v/>
      </c>
      <c r="P1427" s="294"/>
    </row>
    <row r="1428" spans="1:16">
      <c r="A1428" s="294"/>
      <c r="B1428" s="294" t="s">
        <v>611</v>
      </c>
      <c r="C1428" s="294" t="s">
        <v>611</v>
      </c>
      <c r="D1428" s="295" t="s">
        <v>1067</v>
      </c>
      <c r="E1428" s="296">
        <v>11</v>
      </c>
      <c r="F1428" s="294">
        <v>16</v>
      </c>
      <c r="G1428" s="294">
        <v>8.1</v>
      </c>
      <c r="H1428" s="294"/>
      <c r="I1428" s="294"/>
      <c r="J1428" s="294"/>
      <c r="K1428" s="294">
        <f t="shared" si="196"/>
        <v>2.1160000000000001</v>
      </c>
      <c r="L1428" s="294">
        <f t="shared" si="197"/>
        <v>0.63185951626122749</v>
      </c>
      <c r="M1428" s="297">
        <f t="shared" si="213"/>
        <v>2.303150663880003</v>
      </c>
      <c r="N1428" s="294">
        <v>0</v>
      </c>
      <c r="O1428" s="294" t="str">
        <f t="shared" si="212"/>
        <v/>
      </c>
      <c r="P1428" s="294"/>
    </row>
    <row r="1429" spans="1:16">
      <c r="A1429" s="294"/>
      <c r="B1429" s="294" t="s">
        <v>611</v>
      </c>
      <c r="C1429" s="294" t="s">
        <v>611</v>
      </c>
      <c r="D1429" s="295" t="s">
        <v>1067</v>
      </c>
      <c r="E1429" s="296">
        <v>12</v>
      </c>
      <c r="F1429" s="294">
        <v>10.3</v>
      </c>
      <c r="G1429" s="294">
        <v>6</v>
      </c>
      <c r="H1429" s="294"/>
      <c r="I1429" s="294"/>
      <c r="J1429" s="294"/>
      <c r="K1429" s="294">
        <f t="shared" si="196"/>
        <v>2.2528000000000001</v>
      </c>
      <c r="L1429" s="294">
        <f t="shared" si="197"/>
        <v>0.55508457099596153</v>
      </c>
      <c r="M1429" s="297">
        <f t="shared" si="213"/>
        <v>1.4427229646519126</v>
      </c>
      <c r="N1429" s="294">
        <v>0</v>
      </c>
      <c r="O1429" s="294" t="str">
        <f t="shared" si="212"/>
        <v/>
      </c>
      <c r="P1429" s="294"/>
    </row>
    <row r="1430" spans="1:16">
      <c r="A1430" s="294">
        <v>120</v>
      </c>
      <c r="B1430" s="294" t="s">
        <v>402</v>
      </c>
      <c r="C1430" s="294" t="s">
        <v>612</v>
      </c>
      <c r="D1430" s="295" t="s">
        <v>1067</v>
      </c>
      <c r="E1430" s="296">
        <v>1</v>
      </c>
      <c r="F1430" s="294">
        <v>6.2</v>
      </c>
      <c r="G1430" s="308">
        <f t="shared" ref="G1430:G1441" si="214">$T$11+$T$12*H1430+INDEX($T$13:$T$24,MATCH(E1430,$S$13:$S$24,0),1)</f>
        <v>7.39826578</v>
      </c>
      <c r="H1430" s="294">
        <v>118.6</v>
      </c>
      <c r="I1430" s="306">
        <v>0.872</v>
      </c>
      <c r="J1430" s="307">
        <v>0.41</v>
      </c>
      <c r="K1430" s="294">
        <f t="shared" si="196"/>
        <v>2.3512</v>
      </c>
      <c r="L1430" s="294">
        <f t="shared" si="197"/>
        <v>0.49684368447763227</v>
      </c>
      <c r="M1430" s="309">
        <f>$I$1430*L1430*(G1430/K1430)+$J$1430</f>
        <v>1.7732534792375576</v>
      </c>
      <c r="N1430" s="294">
        <v>0</v>
      </c>
      <c r="O1430" s="294" t="str">
        <f t="shared" si="212"/>
        <v/>
      </c>
      <c r="P1430" s="294">
        <f>AVERAGE(O1430:O1441)</f>
        <v>6.0550340309812327</v>
      </c>
    </row>
    <row r="1431" spans="1:16">
      <c r="A1431" s="294"/>
      <c r="B1431" s="294" t="s">
        <v>402</v>
      </c>
      <c r="C1431" s="294" t="s">
        <v>612</v>
      </c>
      <c r="D1431" s="295" t="s">
        <v>1067</v>
      </c>
      <c r="E1431" s="296">
        <v>2</v>
      </c>
      <c r="F1431" s="294">
        <v>6</v>
      </c>
      <c r="G1431" s="308">
        <f t="shared" si="214"/>
        <v>9.2859307700000002</v>
      </c>
      <c r="H1431" s="294">
        <v>106.9</v>
      </c>
      <c r="I1431" s="297"/>
      <c r="J1431" s="297"/>
      <c r="K1431" s="294">
        <f t="shared" si="196"/>
        <v>2.3559999999999999</v>
      </c>
      <c r="L1431" s="294">
        <f t="shared" si="197"/>
        <v>0.49397218711142404</v>
      </c>
      <c r="M1431" s="309">
        <f t="shared" ref="M1431:M1441" si="215">$I$1430*L1431*(G1431/K1431)+$J$1430</f>
        <v>2.1077320100801922</v>
      </c>
      <c r="N1431" s="294">
        <v>0</v>
      </c>
      <c r="O1431" s="294" t="str">
        <f t="shared" si="212"/>
        <v/>
      </c>
      <c r="P1431" s="294"/>
    </row>
    <row r="1432" spans="1:16">
      <c r="A1432" s="294"/>
      <c r="B1432" s="294" t="s">
        <v>402</v>
      </c>
      <c r="C1432" s="294" t="s">
        <v>612</v>
      </c>
      <c r="D1432" s="295" t="s">
        <v>1067</v>
      </c>
      <c r="E1432" s="296">
        <v>3</v>
      </c>
      <c r="F1432" s="294">
        <v>9.6</v>
      </c>
      <c r="G1432" s="308">
        <f t="shared" si="214"/>
        <v>14.500883780000002</v>
      </c>
      <c r="H1432" s="294">
        <v>185.6</v>
      </c>
      <c r="I1432" s="297"/>
      <c r="J1432" s="297"/>
      <c r="K1432" s="294">
        <f t="shared" si="196"/>
        <v>2.2696000000000001</v>
      </c>
      <c r="L1432" s="294">
        <f t="shared" si="197"/>
        <v>0.54526128290874298</v>
      </c>
      <c r="M1432" s="309">
        <f t="shared" si="215"/>
        <v>3.4478497841314022</v>
      </c>
      <c r="N1432" s="294">
        <v>0</v>
      </c>
      <c r="O1432" s="294" t="str">
        <f t="shared" si="212"/>
        <v/>
      </c>
      <c r="P1432" s="294"/>
    </row>
    <row r="1433" spans="1:16">
      <c r="A1433" s="294"/>
      <c r="B1433" s="294" t="s">
        <v>402</v>
      </c>
      <c r="C1433" s="294" t="s">
        <v>612</v>
      </c>
      <c r="D1433" s="295" t="s">
        <v>1067</v>
      </c>
      <c r="E1433" s="296">
        <v>4</v>
      </c>
      <c r="F1433" s="294">
        <v>15</v>
      </c>
      <c r="G1433" s="308">
        <f t="shared" si="214"/>
        <v>14.92936297</v>
      </c>
      <c r="H1433" s="294">
        <v>152.9</v>
      </c>
      <c r="I1433" s="297"/>
      <c r="J1433" s="297"/>
      <c r="K1433" s="294">
        <f t="shared" si="196"/>
        <v>2.14</v>
      </c>
      <c r="L1433" s="294">
        <f t="shared" si="197"/>
        <v>0.61889132462533447</v>
      </c>
      <c r="M1433" s="309">
        <f t="shared" si="215"/>
        <v>4.1749428091604228</v>
      </c>
      <c r="N1433" s="294">
        <v>0</v>
      </c>
      <c r="O1433" s="294" t="str">
        <f t="shared" si="212"/>
        <v/>
      </c>
      <c r="P1433" s="294"/>
    </row>
    <row r="1434" spans="1:16">
      <c r="A1434" s="294"/>
      <c r="B1434" s="294" t="s">
        <v>402</v>
      </c>
      <c r="C1434" s="294" t="s">
        <v>612</v>
      </c>
      <c r="D1434" s="295" t="s">
        <v>1067</v>
      </c>
      <c r="E1434" s="296">
        <v>5</v>
      </c>
      <c r="F1434" s="294">
        <v>19.7</v>
      </c>
      <c r="G1434" s="308">
        <f t="shared" si="214"/>
        <v>19.472354490000001</v>
      </c>
      <c r="H1434" s="294">
        <v>213.3</v>
      </c>
      <c r="I1434" s="297"/>
      <c r="J1434" s="297"/>
      <c r="K1434" s="294">
        <f t="shared" si="196"/>
        <v>2.0272000000000001</v>
      </c>
      <c r="L1434" s="294">
        <f t="shared" si="197"/>
        <v>0.67752473134026181</v>
      </c>
      <c r="M1434" s="309">
        <f t="shared" si="215"/>
        <v>6.0849691797141103</v>
      </c>
      <c r="N1434" s="294">
        <v>0</v>
      </c>
      <c r="O1434" s="294" t="str">
        <f t="shared" si="212"/>
        <v/>
      </c>
      <c r="P1434" s="294"/>
    </row>
    <row r="1435" spans="1:16">
      <c r="A1435" s="294"/>
      <c r="B1435" s="294" t="s">
        <v>402</v>
      </c>
      <c r="C1435" s="294" t="s">
        <v>612</v>
      </c>
      <c r="D1435" s="295" t="s">
        <v>1067</v>
      </c>
      <c r="E1435" s="296">
        <v>6</v>
      </c>
      <c r="F1435" s="294">
        <v>21.8</v>
      </c>
      <c r="G1435" s="308">
        <f t="shared" si="214"/>
        <v>14.626314499999999</v>
      </c>
      <c r="H1435" s="294">
        <v>105</v>
      </c>
      <c r="I1435" s="297"/>
      <c r="J1435" s="297"/>
      <c r="K1435" s="294">
        <f t="shared" si="196"/>
        <v>1.9767999999999999</v>
      </c>
      <c r="L1435" s="294">
        <f t="shared" si="197"/>
        <v>0.70164698620294608</v>
      </c>
      <c r="M1435" s="309">
        <f t="shared" si="215"/>
        <v>4.9369669535078033</v>
      </c>
      <c r="N1435" s="294">
        <v>0</v>
      </c>
      <c r="O1435" s="294" t="str">
        <f t="shared" si="212"/>
        <v/>
      </c>
      <c r="P1435" s="294"/>
    </row>
    <row r="1436" spans="1:16">
      <c r="A1436" s="294"/>
      <c r="B1436" s="294" t="s">
        <v>402</v>
      </c>
      <c r="C1436" s="294" t="s">
        <v>612</v>
      </c>
      <c r="D1436" s="295" t="s">
        <v>1067</v>
      </c>
      <c r="E1436" s="296">
        <v>7</v>
      </c>
      <c r="F1436" s="294">
        <v>25.4</v>
      </c>
      <c r="G1436" s="308">
        <f t="shared" si="214"/>
        <v>15.37722379</v>
      </c>
      <c r="H1436" s="294">
        <v>130.30000000000001</v>
      </c>
      <c r="I1436" s="297"/>
      <c r="J1436" s="297"/>
      <c r="K1436" s="294">
        <f t="shared" si="196"/>
        <v>1.8904000000000001</v>
      </c>
      <c r="L1436" s="294">
        <f t="shared" si="197"/>
        <v>0.73970436015123497</v>
      </c>
      <c r="M1436" s="309">
        <f t="shared" si="215"/>
        <v>5.65685291497583</v>
      </c>
      <c r="N1436" s="294">
        <v>1</v>
      </c>
      <c r="O1436" s="294">
        <f t="shared" si="212"/>
        <v>5.65685291497583</v>
      </c>
      <c r="P1436" s="294"/>
    </row>
    <row r="1437" spans="1:16">
      <c r="A1437" s="294"/>
      <c r="B1437" s="294" t="s">
        <v>402</v>
      </c>
      <c r="C1437" s="294" t="s">
        <v>612</v>
      </c>
      <c r="D1437" s="295" t="s">
        <v>1067</v>
      </c>
      <c r="E1437" s="296">
        <v>8</v>
      </c>
      <c r="F1437" s="294">
        <v>26.3</v>
      </c>
      <c r="G1437" s="308">
        <f t="shared" si="214"/>
        <v>17.301925059999999</v>
      </c>
      <c r="H1437" s="294">
        <v>189.2</v>
      </c>
      <c r="I1437" s="297"/>
      <c r="J1437" s="297"/>
      <c r="K1437" s="294">
        <f t="shared" si="196"/>
        <v>1.8688</v>
      </c>
      <c r="L1437" s="294">
        <f t="shared" si="197"/>
        <v>0.74854854390536441</v>
      </c>
      <c r="M1437" s="309">
        <f t="shared" si="215"/>
        <v>6.4532151469866355</v>
      </c>
      <c r="N1437" s="294">
        <v>1</v>
      </c>
      <c r="O1437" s="294">
        <f t="shared" si="212"/>
        <v>6.4532151469866355</v>
      </c>
      <c r="P1437" s="294"/>
    </row>
    <row r="1438" spans="1:16">
      <c r="A1438" s="294"/>
      <c r="B1438" s="294" t="s">
        <v>402</v>
      </c>
      <c r="C1438" s="294" t="s">
        <v>612</v>
      </c>
      <c r="D1438" s="295" t="s">
        <v>1067</v>
      </c>
      <c r="E1438" s="296">
        <v>9</v>
      </c>
      <c r="F1438" s="294">
        <v>21.8</v>
      </c>
      <c r="G1438" s="308">
        <f t="shared" si="214"/>
        <v>13.055865909999998</v>
      </c>
      <c r="H1438" s="294">
        <v>134.69999999999999</v>
      </c>
      <c r="I1438" s="297"/>
      <c r="J1438" s="297"/>
      <c r="K1438" s="294">
        <f t="shared" si="196"/>
        <v>1.9767999999999999</v>
      </c>
      <c r="L1438" s="294">
        <f t="shared" si="197"/>
        <v>0.70164698620294608</v>
      </c>
      <c r="M1438" s="309">
        <f t="shared" si="215"/>
        <v>4.450899949471145</v>
      </c>
      <c r="N1438" s="294">
        <v>0</v>
      </c>
      <c r="O1438" s="294" t="str">
        <f t="shared" si="212"/>
        <v/>
      </c>
      <c r="P1438" s="294"/>
    </row>
    <row r="1439" spans="1:16">
      <c r="A1439" s="294"/>
      <c r="B1439" s="294" t="s">
        <v>402</v>
      </c>
      <c r="C1439" s="294" t="s">
        <v>612</v>
      </c>
      <c r="D1439" s="295" t="s">
        <v>1067</v>
      </c>
      <c r="E1439" s="296">
        <v>10</v>
      </c>
      <c r="F1439" s="294">
        <v>16.8</v>
      </c>
      <c r="G1439" s="308">
        <f t="shared" si="214"/>
        <v>14.16507756</v>
      </c>
      <c r="H1439" s="294">
        <v>225.2</v>
      </c>
      <c r="I1439" s="297"/>
      <c r="J1439" s="297"/>
      <c r="K1439" s="294">
        <f t="shared" si="196"/>
        <v>2.0968</v>
      </c>
      <c r="L1439" s="294">
        <f t="shared" si="197"/>
        <v>0.64205231419896891</v>
      </c>
      <c r="M1439" s="309">
        <f t="shared" si="215"/>
        <v>4.192237963656777</v>
      </c>
      <c r="N1439" s="294">
        <v>0</v>
      </c>
      <c r="O1439" s="294" t="str">
        <f t="shared" si="212"/>
        <v/>
      </c>
      <c r="P1439" s="294"/>
    </row>
    <row r="1440" spans="1:16">
      <c r="A1440" s="294"/>
      <c r="B1440" s="294" t="s">
        <v>402</v>
      </c>
      <c r="C1440" s="294" t="s">
        <v>612</v>
      </c>
      <c r="D1440" s="295" t="s">
        <v>1067</v>
      </c>
      <c r="E1440" s="296">
        <v>11</v>
      </c>
      <c r="F1440" s="294">
        <v>14.5</v>
      </c>
      <c r="G1440" s="308">
        <f t="shared" si="214"/>
        <v>7.1319551399999987</v>
      </c>
      <c r="H1440" s="294">
        <v>99.8</v>
      </c>
      <c r="I1440" s="297"/>
      <c r="J1440" s="297"/>
      <c r="K1440" s="294">
        <f t="shared" si="196"/>
        <v>2.1520000000000001</v>
      </c>
      <c r="L1440" s="294">
        <f t="shared" si="197"/>
        <v>0.61231732805409467</v>
      </c>
      <c r="M1440" s="309">
        <f t="shared" si="215"/>
        <v>2.1795358696980847</v>
      </c>
      <c r="N1440" s="294">
        <v>0</v>
      </c>
      <c r="O1440" s="294" t="str">
        <f t="shared" si="212"/>
        <v/>
      </c>
      <c r="P1440" s="294"/>
    </row>
    <row r="1441" spans="1:16">
      <c r="A1441" s="294"/>
      <c r="B1441" s="294" t="s">
        <v>402</v>
      </c>
      <c r="C1441" s="294" t="s">
        <v>612</v>
      </c>
      <c r="D1441" s="295" t="s">
        <v>1067</v>
      </c>
      <c r="E1441" s="296">
        <v>12</v>
      </c>
      <c r="F1441" s="294">
        <v>8.6</v>
      </c>
      <c r="G1441" s="308">
        <f t="shared" si="214"/>
        <v>5.7047713100000008</v>
      </c>
      <c r="H1441" s="294">
        <v>96.7</v>
      </c>
      <c r="I1441" s="297"/>
      <c r="J1441" s="297"/>
      <c r="K1441" s="294">
        <f t="shared" si="196"/>
        <v>2.2936000000000001</v>
      </c>
      <c r="L1441" s="294">
        <f t="shared" si="197"/>
        <v>0.53112526804205062</v>
      </c>
      <c r="M1441" s="309">
        <f t="shared" si="215"/>
        <v>1.5619510039571545</v>
      </c>
      <c r="N1441" s="294">
        <v>0</v>
      </c>
      <c r="O1441" s="294" t="str">
        <f t="shared" si="212"/>
        <v/>
      </c>
      <c r="P1441" s="294"/>
    </row>
    <row r="1442" spans="1:16">
      <c r="A1442" s="294">
        <v>121</v>
      </c>
      <c r="B1442" s="294" t="s">
        <v>613</v>
      </c>
      <c r="C1442" s="294" t="s">
        <v>613</v>
      </c>
      <c r="D1442" s="295" t="s">
        <v>1067</v>
      </c>
      <c r="E1442" s="296">
        <v>1</v>
      </c>
      <c r="F1442" s="294">
        <v>6.8</v>
      </c>
      <c r="G1442" s="294">
        <v>8.3000000000000007</v>
      </c>
      <c r="H1442" s="294"/>
      <c r="I1442" s="294">
        <v>0.84</v>
      </c>
      <c r="J1442" s="294">
        <v>-0.14000000000000001</v>
      </c>
      <c r="K1442" s="294">
        <f t="shared" si="196"/>
        <v>2.3368000000000002</v>
      </c>
      <c r="L1442" s="294">
        <f t="shared" si="197"/>
        <v>0.50544832057472966</v>
      </c>
      <c r="M1442" s="297">
        <f>$I$1442*L1442*(G1442/K1442)+$J$1442</f>
        <v>1.368039066692492</v>
      </c>
      <c r="N1442" s="294">
        <v>0</v>
      </c>
      <c r="O1442" s="294" t="str">
        <f t="shared" si="212"/>
        <v/>
      </c>
      <c r="P1442" s="294">
        <f>AVERAGE(O1442:O1453)</f>
        <v>5.0023078490181474</v>
      </c>
    </row>
    <row r="1443" spans="1:16">
      <c r="A1443" s="294"/>
      <c r="B1443" s="294" t="s">
        <v>613</v>
      </c>
      <c r="C1443" s="294" t="s">
        <v>613</v>
      </c>
      <c r="D1443" s="295" t="s">
        <v>1067</v>
      </c>
      <c r="E1443" s="296">
        <v>2</v>
      </c>
      <c r="F1443" s="294">
        <v>6.6</v>
      </c>
      <c r="G1443" s="294">
        <v>9.6</v>
      </c>
      <c r="H1443" s="294"/>
      <c r="I1443" s="294"/>
      <c r="J1443" s="294"/>
      <c r="K1443" s="294">
        <f t="shared" si="196"/>
        <v>2.3416000000000001</v>
      </c>
      <c r="L1443" s="294">
        <f t="shared" si="197"/>
        <v>0.5025819590057089</v>
      </c>
      <c r="M1443" s="297">
        <f t="shared" ref="M1443:M1453" si="216">$I$1442*L1443*(G1443/K1443)+$J$1442</f>
        <v>1.5907913039895951</v>
      </c>
      <c r="N1443" s="294">
        <v>0</v>
      </c>
      <c r="O1443" s="294" t="str">
        <f t="shared" si="212"/>
        <v/>
      </c>
      <c r="P1443" s="294"/>
    </row>
    <row r="1444" spans="1:16">
      <c r="A1444" s="294"/>
      <c r="B1444" s="294" t="s">
        <v>613</v>
      </c>
      <c r="C1444" s="294" t="s">
        <v>613</v>
      </c>
      <c r="D1444" s="295" t="s">
        <v>1067</v>
      </c>
      <c r="E1444" s="296">
        <v>3</v>
      </c>
      <c r="F1444" s="294">
        <v>10.8</v>
      </c>
      <c r="G1444" s="294">
        <v>15</v>
      </c>
      <c r="H1444" s="294"/>
      <c r="I1444" s="294"/>
      <c r="J1444" s="294"/>
      <c r="K1444" s="294">
        <f t="shared" si="196"/>
        <v>2.2408000000000001</v>
      </c>
      <c r="L1444" s="294">
        <f t="shared" si="197"/>
        <v>0.56205969531029709</v>
      </c>
      <c r="M1444" s="297">
        <f t="shared" si="216"/>
        <v>3.0204570514591849</v>
      </c>
      <c r="N1444" s="294">
        <v>0</v>
      </c>
      <c r="O1444" s="294" t="str">
        <f t="shared" si="212"/>
        <v/>
      </c>
      <c r="P1444" s="294"/>
    </row>
    <row r="1445" spans="1:16">
      <c r="A1445" s="294"/>
      <c r="B1445" s="294" t="s">
        <v>613</v>
      </c>
      <c r="C1445" s="294" t="s">
        <v>613</v>
      </c>
      <c r="D1445" s="295" t="s">
        <v>1067</v>
      </c>
      <c r="E1445" s="296">
        <v>4</v>
      </c>
      <c r="F1445" s="294">
        <v>16.5</v>
      </c>
      <c r="G1445" s="294">
        <v>14.6</v>
      </c>
      <c r="H1445" s="294"/>
      <c r="I1445" s="294"/>
      <c r="J1445" s="294"/>
      <c r="K1445" s="294">
        <f t="shared" si="196"/>
        <v>2.1040000000000001</v>
      </c>
      <c r="L1445" s="294">
        <f t="shared" si="197"/>
        <v>0.63824954026778424</v>
      </c>
      <c r="M1445" s="297">
        <f t="shared" si="216"/>
        <v>3.5802910465038522</v>
      </c>
      <c r="N1445" s="294">
        <v>0</v>
      </c>
      <c r="O1445" s="294" t="str">
        <f t="shared" si="212"/>
        <v/>
      </c>
      <c r="P1445" s="294"/>
    </row>
    <row r="1446" spans="1:16">
      <c r="A1446" s="294"/>
      <c r="B1446" s="294" t="s">
        <v>613</v>
      </c>
      <c r="C1446" s="294" t="s">
        <v>613</v>
      </c>
      <c r="D1446" s="295" t="s">
        <v>1067</v>
      </c>
      <c r="E1446" s="296">
        <v>5</v>
      </c>
      <c r="F1446" s="294">
        <v>21</v>
      </c>
      <c r="G1446" s="294">
        <v>17.7</v>
      </c>
      <c r="H1446" s="294"/>
      <c r="I1446" s="294"/>
      <c r="J1446" s="294"/>
      <c r="K1446" s="294">
        <f t="shared" si="196"/>
        <v>1.996</v>
      </c>
      <c r="L1446" s="294">
        <f t="shared" si="197"/>
        <v>0.69261966250512974</v>
      </c>
      <c r="M1446" s="297">
        <f t="shared" si="216"/>
        <v>5.0192530772175701</v>
      </c>
      <c r="N1446" s="294">
        <v>0</v>
      </c>
      <c r="O1446" s="294" t="str">
        <f t="shared" si="212"/>
        <v/>
      </c>
      <c r="P1446" s="294"/>
    </row>
    <row r="1447" spans="1:16">
      <c r="A1447" s="294"/>
      <c r="B1447" s="294" t="s">
        <v>613</v>
      </c>
      <c r="C1447" s="294" t="s">
        <v>613</v>
      </c>
      <c r="D1447" s="295" t="s">
        <v>1067</v>
      </c>
      <c r="E1447" s="296">
        <v>6</v>
      </c>
      <c r="F1447" s="294">
        <v>22.7</v>
      </c>
      <c r="G1447" s="294">
        <v>11.5</v>
      </c>
      <c r="H1447" s="294"/>
      <c r="I1447" s="294"/>
      <c r="J1447" s="294"/>
      <c r="K1447" s="294">
        <f t="shared" si="196"/>
        <v>1.9552</v>
      </c>
      <c r="L1447" s="294">
        <f t="shared" si="197"/>
        <v>0.71155854365220816</v>
      </c>
      <c r="M1447" s="297">
        <f t="shared" si="216"/>
        <v>3.3755766835517234</v>
      </c>
      <c r="N1447" s="294">
        <v>0</v>
      </c>
      <c r="O1447" s="294" t="str">
        <f t="shared" si="212"/>
        <v/>
      </c>
      <c r="P1447" s="294"/>
    </row>
    <row r="1448" spans="1:16">
      <c r="A1448" s="294"/>
      <c r="B1448" s="294" t="s">
        <v>613</v>
      </c>
      <c r="C1448" s="294" t="s">
        <v>613</v>
      </c>
      <c r="D1448" s="295" t="s">
        <v>1067</v>
      </c>
      <c r="E1448" s="296">
        <v>7</v>
      </c>
      <c r="F1448" s="294">
        <v>26.5</v>
      </c>
      <c r="G1448" s="294">
        <v>14.1</v>
      </c>
      <c r="H1448" s="294"/>
      <c r="I1448" s="294"/>
      <c r="J1448" s="294"/>
      <c r="K1448" s="294">
        <f t="shared" si="196"/>
        <v>1.8639999999999999</v>
      </c>
      <c r="L1448" s="294">
        <f t="shared" si="197"/>
        <v>0.75047716295715017</v>
      </c>
      <c r="M1448" s="297">
        <f t="shared" si="216"/>
        <v>4.6285898702062696</v>
      </c>
      <c r="N1448" s="294">
        <v>1</v>
      </c>
      <c r="O1448" s="294">
        <f t="shared" si="212"/>
        <v>4.6285898702062696</v>
      </c>
      <c r="P1448" s="294"/>
    </row>
    <row r="1449" spans="1:16">
      <c r="A1449" s="294"/>
      <c r="B1449" s="294" t="s">
        <v>613</v>
      </c>
      <c r="C1449" s="294" t="s">
        <v>613</v>
      </c>
      <c r="D1449" s="295" t="s">
        <v>1067</v>
      </c>
      <c r="E1449" s="296">
        <v>8</v>
      </c>
      <c r="F1449" s="294">
        <v>27.5</v>
      </c>
      <c r="G1449" s="294">
        <v>15.9</v>
      </c>
      <c r="H1449" s="294"/>
      <c r="I1449" s="294"/>
      <c r="J1449" s="294"/>
      <c r="K1449" s="294">
        <f t="shared" si="196"/>
        <v>1.8399999999999999</v>
      </c>
      <c r="L1449" s="294">
        <f t="shared" si="197"/>
        <v>0.75991970074926962</v>
      </c>
      <c r="M1449" s="297">
        <f t="shared" si="216"/>
        <v>5.3760258278300252</v>
      </c>
      <c r="N1449" s="294">
        <v>1</v>
      </c>
      <c r="O1449" s="294">
        <f t="shared" si="212"/>
        <v>5.3760258278300252</v>
      </c>
      <c r="P1449" s="294"/>
    </row>
    <row r="1450" spans="1:16">
      <c r="A1450" s="294"/>
      <c r="B1450" s="294" t="s">
        <v>613</v>
      </c>
      <c r="C1450" s="294" t="s">
        <v>613</v>
      </c>
      <c r="D1450" s="295" t="s">
        <v>1067</v>
      </c>
      <c r="E1450" s="296">
        <v>9</v>
      </c>
      <c r="F1450" s="294">
        <v>23.4</v>
      </c>
      <c r="G1450" s="294">
        <v>14.1</v>
      </c>
      <c r="H1450" s="294"/>
      <c r="I1450" s="294"/>
      <c r="J1450" s="294"/>
      <c r="K1450" s="294">
        <f t="shared" si="196"/>
        <v>1.9384000000000001</v>
      </c>
      <c r="L1450" s="294">
        <f t="shared" si="197"/>
        <v>0.71908608973973653</v>
      </c>
      <c r="M1450" s="297">
        <f t="shared" si="216"/>
        <v>4.2537554926111429</v>
      </c>
      <c r="N1450" s="294">
        <v>0</v>
      </c>
      <c r="O1450" s="294" t="str">
        <f t="shared" si="212"/>
        <v/>
      </c>
      <c r="P1450" s="294"/>
    </row>
    <row r="1451" spans="1:16">
      <c r="A1451" s="294"/>
      <c r="B1451" s="294" t="s">
        <v>613</v>
      </c>
      <c r="C1451" s="294" t="s">
        <v>613</v>
      </c>
      <c r="D1451" s="295" t="s">
        <v>1067</v>
      </c>
      <c r="E1451" s="296">
        <v>10</v>
      </c>
      <c r="F1451" s="294">
        <v>18.399999999999999</v>
      </c>
      <c r="G1451" s="294">
        <v>14.9</v>
      </c>
      <c r="H1451" s="294"/>
      <c r="I1451" s="294"/>
      <c r="J1451" s="294"/>
      <c r="K1451" s="294">
        <f t="shared" si="196"/>
        <v>2.0583999999999998</v>
      </c>
      <c r="L1451" s="294">
        <f t="shared" si="197"/>
        <v>0.66192047983258717</v>
      </c>
      <c r="M1451" s="297">
        <f t="shared" si="216"/>
        <v>3.8847749346991161</v>
      </c>
      <c r="N1451" s="294">
        <v>0</v>
      </c>
      <c r="O1451" s="294" t="str">
        <f t="shared" si="212"/>
        <v/>
      </c>
      <c r="P1451" s="294"/>
    </row>
    <row r="1452" spans="1:16">
      <c r="A1452" s="294"/>
      <c r="B1452" s="294" t="s">
        <v>613</v>
      </c>
      <c r="C1452" s="294" t="s">
        <v>613</v>
      </c>
      <c r="D1452" s="295" t="s">
        <v>1067</v>
      </c>
      <c r="E1452" s="296">
        <v>11</v>
      </c>
      <c r="F1452" s="294">
        <v>15.9</v>
      </c>
      <c r="G1452" s="294">
        <v>7.8</v>
      </c>
      <c r="H1452" s="294"/>
      <c r="I1452" s="294"/>
      <c r="J1452" s="294"/>
      <c r="K1452" s="294">
        <f t="shared" si="196"/>
        <v>2.1183999999999998</v>
      </c>
      <c r="L1452" s="294">
        <f t="shared" si="197"/>
        <v>0.63057384037924924</v>
      </c>
      <c r="M1452" s="297">
        <f t="shared" si="216"/>
        <v>1.8103020214146723</v>
      </c>
      <c r="N1452" s="294">
        <v>0</v>
      </c>
      <c r="O1452" s="294" t="str">
        <f t="shared" si="212"/>
        <v/>
      </c>
      <c r="P1452" s="294"/>
    </row>
    <row r="1453" spans="1:16">
      <c r="A1453" s="294"/>
      <c r="B1453" s="294" t="s">
        <v>613</v>
      </c>
      <c r="C1453" s="294" t="s">
        <v>613</v>
      </c>
      <c r="D1453" s="295" t="s">
        <v>1067</v>
      </c>
      <c r="E1453" s="296">
        <v>12</v>
      </c>
      <c r="F1453" s="294">
        <v>9.5</v>
      </c>
      <c r="G1453" s="294">
        <v>6.9</v>
      </c>
      <c r="H1453" s="294"/>
      <c r="I1453" s="294"/>
      <c r="J1453" s="294"/>
      <c r="K1453" s="294">
        <f t="shared" si="196"/>
        <v>2.2719999999999998</v>
      </c>
      <c r="L1453" s="294">
        <f t="shared" si="197"/>
        <v>0.54385283124797501</v>
      </c>
      <c r="M1453" s="297">
        <f t="shared" si="216"/>
        <v>1.2473992121097108</v>
      </c>
      <c r="N1453" s="294">
        <v>0</v>
      </c>
      <c r="O1453" s="294" t="str">
        <f t="shared" si="212"/>
        <v/>
      </c>
      <c r="P1453" s="294"/>
    </row>
    <row r="1454" spans="1:16">
      <c r="A1454" s="294">
        <v>122</v>
      </c>
      <c r="B1454" s="294" t="s">
        <v>614</v>
      </c>
      <c r="C1454" s="294" t="s">
        <v>614</v>
      </c>
      <c r="D1454" s="295" t="s">
        <v>1067</v>
      </c>
      <c r="E1454" s="296">
        <v>1</v>
      </c>
      <c r="F1454" s="294">
        <v>7.9</v>
      </c>
      <c r="G1454" s="294">
        <v>8.1999999999999993</v>
      </c>
      <c r="H1454" s="294"/>
      <c r="I1454" s="294">
        <v>0.86799999999999999</v>
      </c>
      <c r="J1454" s="294">
        <v>0.17</v>
      </c>
      <c r="K1454" s="294">
        <f t="shared" si="196"/>
        <v>2.3104</v>
      </c>
      <c r="L1454" s="294">
        <f t="shared" si="197"/>
        <v>0.52116977877129977</v>
      </c>
      <c r="M1454" s="297">
        <f>$I$1454*L1454*(G1454/K1454)+$J$1454</f>
        <v>1.7755566210970408</v>
      </c>
      <c r="N1454" s="294">
        <v>0</v>
      </c>
      <c r="O1454" s="294" t="str">
        <f t="shared" si="212"/>
        <v/>
      </c>
      <c r="P1454" s="294">
        <f>AVERAGE(O1454:O1465)</f>
        <v>5.9420842799302278</v>
      </c>
    </row>
    <row r="1455" spans="1:16">
      <c r="A1455" s="294"/>
      <c r="B1455" s="294" t="s">
        <v>614</v>
      </c>
      <c r="C1455" s="294" t="s">
        <v>614</v>
      </c>
      <c r="D1455" s="295" t="s">
        <v>1067</v>
      </c>
      <c r="E1455" s="296">
        <v>2</v>
      </c>
      <c r="F1455" s="294">
        <v>7.6</v>
      </c>
      <c r="G1455" s="294">
        <v>9</v>
      </c>
      <c r="H1455" s="294"/>
      <c r="I1455" s="294"/>
      <c r="J1455" s="294"/>
      <c r="K1455" s="294">
        <f t="shared" si="196"/>
        <v>2.3176000000000001</v>
      </c>
      <c r="L1455" s="294">
        <f t="shared" si="197"/>
        <v>0.51689044020520014</v>
      </c>
      <c r="M1455" s="297">
        <f t="shared" ref="M1455:M1465" si="217">$I$1454*L1455*(G1455/K1455)+$J$1454</f>
        <v>1.9122972552998891</v>
      </c>
      <c r="N1455" s="294">
        <v>0</v>
      </c>
      <c r="O1455" s="294" t="str">
        <f t="shared" si="212"/>
        <v/>
      </c>
      <c r="P1455" s="294"/>
    </row>
    <row r="1456" spans="1:16">
      <c r="A1456" s="294"/>
      <c r="B1456" s="294" t="s">
        <v>614</v>
      </c>
      <c r="C1456" s="294" t="s">
        <v>614</v>
      </c>
      <c r="D1456" s="295" t="s">
        <v>1067</v>
      </c>
      <c r="E1456" s="296">
        <v>3</v>
      </c>
      <c r="F1456" s="294">
        <v>11.1</v>
      </c>
      <c r="G1456" s="294">
        <v>14.9</v>
      </c>
      <c r="H1456" s="294"/>
      <c r="I1456" s="294"/>
      <c r="J1456" s="294"/>
      <c r="K1456" s="294">
        <f t="shared" si="196"/>
        <v>2.2336</v>
      </c>
      <c r="L1456" s="294">
        <f t="shared" si="197"/>
        <v>0.566226770414756</v>
      </c>
      <c r="M1456" s="297">
        <f t="shared" si="217"/>
        <v>3.4486192993947538</v>
      </c>
      <c r="N1456" s="294">
        <v>0</v>
      </c>
      <c r="O1456" s="294" t="str">
        <f t="shared" si="212"/>
        <v/>
      </c>
      <c r="P1456" s="294"/>
    </row>
    <row r="1457" spans="1:16">
      <c r="A1457" s="294"/>
      <c r="B1457" s="294" t="s">
        <v>614</v>
      </c>
      <c r="C1457" s="294" t="s">
        <v>614</v>
      </c>
      <c r="D1457" s="295" t="s">
        <v>1067</v>
      </c>
      <c r="E1457" s="296">
        <v>4</v>
      </c>
      <c r="F1457" s="294">
        <v>16.5</v>
      </c>
      <c r="G1457" s="294">
        <v>14.6</v>
      </c>
      <c r="H1457" s="294"/>
      <c r="I1457" s="294"/>
      <c r="J1457" s="294"/>
      <c r="K1457" s="294">
        <f t="shared" si="196"/>
        <v>2.1040000000000001</v>
      </c>
      <c r="L1457" s="294">
        <f t="shared" si="197"/>
        <v>0.63824954026778424</v>
      </c>
      <c r="M1457" s="297">
        <f t="shared" si="217"/>
        <v>4.014300748053981</v>
      </c>
      <c r="N1457" s="294">
        <v>0</v>
      </c>
      <c r="O1457" s="294" t="str">
        <f t="shared" si="212"/>
        <v/>
      </c>
      <c r="P1457" s="294"/>
    </row>
    <row r="1458" spans="1:16">
      <c r="A1458" s="294"/>
      <c r="B1458" s="294" t="s">
        <v>614</v>
      </c>
      <c r="C1458" s="294" t="s">
        <v>614</v>
      </c>
      <c r="D1458" s="295" t="s">
        <v>1067</v>
      </c>
      <c r="E1458" s="296">
        <v>5</v>
      </c>
      <c r="F1458" s="294">
        <v>19.899999999999999</v>
      </c>
      <c r="G1458" s="294">
        <v>17.7</v>
      </c>
      <c r="H1458" s="294"/>
      <c r="I1458" s="294"/>
      <c r="J1458" s="294"/>
      <c r="K1458" s="294">
        <f t="shared" si="196"/>
        <v>2.0224000000000002</v>
      </c>
      <c r="L1458" s="294">
        <f t="shared" si="197"/>
        <v>0.67988072455324944</v>
      </c>
      <c r="M1458" s="297">
        <f t="shared" si="217"/>
        <v>5.3348613032764538</v>
      </c>
      <c r="N1458" s="294">
        <v>0</v>
      </c>
      <c r="O1458" s="294" t="str">
        <f t="shared" si="212"/>
        <v/>
      </c>
      <c r="P1458" s="294"/>
    </row>
    <row r="1459" spans="1:16">
      <c r="A1459" s="294"/>
      <c r="B1459" s="294" t="s">
        <v>614</v>
      </c>
      <c r="C1459" s="294" t="s">
        <v>614</v>
      </c>
      <c r="D1459" s="295" t="s">
        <v>1067</v>
      </c>
      <c r="E1459" s="296">
        <v>6</v>
      </c>
      <c r="F1459" s="294">
        <v>21.7</v>
      </c>
      <c r="G1459" s="294">
        <v>10.8</v>
      </c>
      <c r="H1459" s="294"/>
      <c r="I1459" s="294"/>
      <c r="J1459" s="294"/>
      <c r="K1459" s="294">
        <f t="shared" si="196"/>
        <v>1.9792000000000001</v>
      </c>
      <c r="L1459" s="294">
        <f t="shared" si="197"/>
        <v>0.70052966467044631</v>
      </c>
      <c r="M1459" s="297">
        <f t="shared" si="217"/>
        <v>3.4880301578853232</v>
      </c>
      <c r="N1459" s="294">
        <v>0</v>
      </c>
      <c r="O1459" s="294" t="str">
        <f t="shared" si="212"/>
        <v/>
      </c>
      <c r="P1459" s="294"/>
    </row>
    <row r="1460" spans="1:16">
      <c r="A1460" s="294"/>
      <c r="B1460" s="294" t="s">
        <v>614</v>
      </c>
      <c r="C1460" s="294" t="s">
        <v>614</v>
      </c>
      <c r="D1460" s="295" t="s">
        <v>1067</v>
      </c>
      <c r="E1460" s="296">
        <v>7</v>
      </c>
      <c r="F1460" s="294">
        <v>25.7</v>
      </c>
      <c r="G1460" s="294">
        <v>15</v>
      </c>
      <c r="H1460" s="294"/>
      <c r="I1460" s="294"/>
      <c r="J1460" s="294"/>
      <c r="K1460" s="294">
        <f t="shared" si="196"/>
        <v>1.8832</v>
      </c>
      <c r="L1460" s="294">
        <f t="shared" si="197"/>
        <v>0.74268247605162208</v>
      </c>
      <c r="M1460" s="297">
        <f t="shared" si="217"/>
        <v>5.3047312224894432</v>
      </c>
      <c r="N1460" s="294">
        <v>1</v>
      </c>
      <c r="O1460" s="294">
        <f t="shared" si="212"/>
        <v>5.3047312224894432</v>
      </c>
      <c r="P1460" s="294"/>
    </row>
    <row r="1461" spans="1:16">
      <c r="A1461" s="294"/>
      <c r="B1461" s="294" t="s">
        <v>614</v>
      </c>
      <c r="C1461" s="294" t="s">
        <v>614</v>
      </c>
      <c r="D1461" s="295" t="s">
        <v>1067</v>
      </c>
      <c r="E1461" s="296">
        <v>8</v>
      </c>
      <c r="F1461" s="294">
        <v>26.8</v>
      </c>
      <c r="G1461" s="294">
        <v>18.2</v>
      </c>
      <c r="H1461" s="294"/>
      <c r="I1461" s="294"/>
      <c r="J1461" s="294"/>
      <c r="K1461" s="294">
        <f t="shared" si="196"/>
        <v>1.8568</v>
      </c>
      <c r="L1461" s="294">
        <f t="shared" si="197"/>
        <v>0.75334501747293869</v>
      </c>
      <c r="M1461" s="297">
        <f t="shared" si="217"/>
        <v>6.5794373373710124</v>
      </c>
      <c r="N1461" s="294">
        <v>1</v>
      </c>
      <c r="O1461" s="294">
        <f t="shared" si="212"/>
        <v>6.5794373373710124</v>
      </c>
      <c r="P1461" s="294"/>
    </row>
    <row r="1462" spans="1:16">
      <c r="A1462" s="294"/>
      <c r="B1462" s="294" t="s">
        <v>614</v>
      </c>
      <c r="C1462" s="294" t="s">
        <v>614</v>
      </c>
      <c r="D1462" s="295" t="s">
        <v>1067</v>
      </c>
      <c r="E1462" s="296">
        <v>9</v>
      </c>
      <c r="F1462" s="294">
        <v>23.6</v>
      </c>
      <c r="G1462" s="294">
        <v>15.1</v>
      </c>
      <c r="H1462" s="294"/>
      <c r="I1462" s="294"/>
      <c r="J1462" s="294"/>
      <c r="K1462" s="294">
        <f t="shared" si="196"/>
        <v>1.9336</v>
      </c>
      <c r="L1462" s="294">
        <f t="shared" si="197"/>
        <v>0.72120738477570068</v>
      </c>
      <c r="M1462" s="297">
        <f t="shared" si="217"/>
        <v>5.0586641243163806</v>
      </c>
      <c r="N1462" s="294">
        <v>0</v>
      </c>
      <c r="O1462" s="294" t="str">
        <f t="shared" si="212"/>
        <v/>
      </c>
      <c r="P1462" s="294"/>
    </row>
    <row r="1463" spans="1:16">
      <c r="A1463" s="294"/>
      <c r="B1463" s="294" t="s">
        <v>614</v>
      </c>
      <c r="C1463" s="294" t="s">
        <v>614</v>
      </c>
      <c r="D1463" s="295" t="s">
        <v>1067</v>
      </c>
      <c r="E1463" s="296">
        <v>10</v>
      </c>
      <c r="F1463" s="294">
        <v>19.3</v>
      </c>
      <c r="G1463" s="294">
        <v>14.6</v>
      </c>
      <c r="H1463" s="294"/>
      <c r="I1463" s="294"/>
      <c r="J1463" s="294"/>
      <c r="K1463" s="294">
        <f t="shared" si="196"/>
        <v>2.0367999999999999</v>
      </c>
      <c r="L1463" s="294">
        <f t="shared" si="197"/>
        <v>0.67277663480485017</v>
      </c>
      <c r="M1463" s="297">
        <f t="shared" si="217"/>
        <v>4.3559602010776235</v>
      </c>
      <c r="N1463" s="294">
        <v>0</v>
      </c>
      <c r="O1463" s="294" t="str">
        <f t="shared" si="212"/>
        <v/>
      </c>
      <c r="P1463" s="294"/>
    </row>
    <row r="1464" spans="1:16">
      <c r="A1464" s="294"/>
      <c r="B1464" s="294" t="s">
        <v>614</v>
      </c>
      <c r="C1464" s="294" t="s">
        <v>614</v>
      </c>
      <c r="D1464" s="295" t="s">
        <v>1067</v>
      </c>
      <c r="E1464" s="296">
        <v>11</v>
      </c>
      <c r="F1464" s="294">
        <v>16.399999999999999</v>
      </c>
      <c r="G1464" s="294">
        <v>7.5</v>
      </c>
      <c r="H1464" s="294"/>
      <c r="I1464" s="294"/>
      <c r="J1464" s="294"/>
      <c r="K1464" s="294">
        <f t="shared" si="196"/>
        <v>2.1063999999999998</v>
      </c>
      <c r="L1464" s="294">
        <f t="shared" si="197"/>
        <v>0.63697670153836161</v>
      </c>
      <c r="M1464" s="297">
        <f t="shared" si="217"/>
        <v>2.1386281461330872</v>
      </c>
      <c r="N1464" s="294">
        <v>0</v>
      </c>
      <c r="O1464" s="294" t="str">
        <f t="shared" si="212"/>
        <v/>
      </c>
      <c r="P1464" s="294"/>
    </row>
    <row r="1465" spans="1:16">
      <c r="A1465" s="294"/>
      <c r="B1465" s="294" t="s">
        <v>614</v>
      </c>
      <c r="C1465" s="294" t="s">
        <v>614</v>
      </c>
      <c r="D1465" s="295" t="s">
        <v>1067</v>
      </c>
      <c r="E1465" s="296">
        <v>12</v>
      </c>
      <c r="F1465" s="294">
        <v>10.6</v>
      </c>
      <c r="G1465" s="294">
        <v>7</v>
      </c>
      <c r="H1465" s="294"/>
      <c r="I1465" s="294"/>
      <c r="J1465" s="294"/>
      <c r="K1465" s="294">
        <f t="shared" si="196"/>
        <v>2.2456</v>
      </c>
      <c r="L1465" s="294">
        <f t="shared" si="197"/>
        <v>0.55927403042310664</v>
      </c>
      <c r="M1465" s="297">
        <f t="shared" si="217"/>
        <v>1.6832476883019221</v>
      </c>
      <c r="N1465" s="294">
        <v>0</v>
      </c>
      <c r="O1465" s="294" t="str">
        <f t="shared" si="212"/>
        <v/>
      </c>
      <c r="P1465" s="294"/>
    </row>
    <row r="1466" spans="1:16">
      <c r="A1466" s="294">
        <v>123</v>
      </c>
      <c r="B1466" s="294" t="s">
        <v>406</v>
      </c>
      <c r="C1466" s="294" t="s">
        <v>615</v>
      </c>
      <c r="D1466" s="295" t="s">
        <v>1067</v>
      </c>
      <c r="E1466" s="296">
        <v>1</v>
      </c>
      <c r="F1466" s="294">
        <v>6.8</v>
      </c>
      <c r="G1466" s="308">
        <f t="shared" ref="G1466:G1497" si="218">$T$11+$T$12*H1466+INDEX($T$13:$T$24,MATCH(E1466,$S$13:$S$24,0),1)</f>
        <v>9.4511862099999995</v>
      </c>
      <c r="H1466" s="294">
        <v>163.69999999999999</v>
      </c>
      <c r="I1466" s="306">
        <v>0.73899999999999999</v>
      </c>
      <c r="J1466" s="307">
        <v>0.74</v>
      </c>
      <c r="K1466" s="294">
        <f t="shared" si="196"/>
        <v>2.3368000000000002</v>
      </c>
      <c r="L1466" s="294">
        <f t="shared" si="197"/>
        <v>0.50544832057472966</v>
      </c>
      <c r="M1466" s="309">
        <f>$I$1466*L1466*(G1466/K1466)+$J$1466</f>
        <v>2.2507269341803058</v>
      </c>
      <c r="N1466" s="294">
        <v>0</v>
      </c>
      <c r="O1466" s="294" t="str">
        <f t="shared" si="212"/>
        <v/>
      </c>
      <c r="P1466" s="294">
        <f>AVERAGE(O1466:O1477)</f>
        <v>5.2435151142378436</v>
      </c>
    </row>
    <row r="1467" spans="1:16">
      <c r="A1467" s="294"/>
      <c r="B1467" s="294" t="s">
        <v>406</v>
      </c>
      <c r="C1467" s="294" t="s">
        <v>615</v>
      </c>
      <c r="D1467" s="295" t="s">
        <v>1067</v>
      </c>
      <c r="E1467" s="296">
        <v>2</v>
      </c>
      <c r="F1467" s="294">
        <v>6.7</v>
      </c>
      <c r="G1467" s="308">
        <f t="shared" si="218"/>
        <v>10.42391327</v>
      </c>
      <c r="H1467" s="294">
        <v>131.9</v>
      </c>
      <c r="I1467" s="297"/>
      <c r="J1467" s="297"/>
      <c r="K1467" s="294">
        <f t="shared" si="196"/>
        <v>2.3391999999999999</v>
      </c>
      <c r="L1467" s="294">
        <f t="shared" si="197"/>
        <v>0.50401539269658691</v>
      </c>
      <c r="M1467" s="309">
        <f t="shared" ref="M1467:M1477" si="219">$I$1466*L1467*(G1467/K1467)+$J$1466</f>
        <v>2.3997843771453078</v>
      </c>
      <c r="N1467" s="294">
        <v>0</v>
      </c>
      <c r="O1467" s="294" t="str">
        <f t="shared" si="212"/>
        <v/>
      </c>
      <c r="P1467" s="294"/>
    </row>
    <row r="1468" spans="1:16">
      <c r="A1468" s="294"/>
      <c r="B1468" s="294" t="s">
        <v>406</v>
      </c>
      <c r="C1468" s="294" t="s">
        <v>615</v>
      </c>
      <c r="D1468" s="295" t="s">
        <v>1067</v>
      </c>
      <c r="E1468" s="296">
        <v>3</v>
      </c>
      <c r="F1468" s="294">
        <v>9.9</v>
      </c>
      <c r="G1468" s="308">
        <f t="shared" si="218"/>
        <v>15.82094348</v>
      </c>
      <c r="H1468" s="294">
        <v>214.6</v>
      </c>
      <c r="I1468" s="297"/>
      <c r="J1468" s="297"/>
      <c r="K1468" s="294">
        <f t="shared" si="196"/>
        <v>2.2624</v>
      </c>
      <c r="L1468" s="294">
        <f t="shared" si="197"/>
        <v>0.54947914156562316</v>
      </c>
      <c r="M1468" s="309">
        <f t="shared" si="219"/>
        <v>3.5796096042909511</v>
      </c>
      <c r="N1468" s="294">
        <v>0</v>
      </c>
      <c r="O1468" s="294" t="str">
        <f t="shared" si="212"/>
        <v/>
      </c>
      <c r="P1468" s="294"/>
    </row>
    <row r="1469" spans="1:16">
      <c r="A1469" s="294"/>
      <c r="B1469" s="294" t="s">
        <v>406</v>
      </c>
      <c r="C1469" s="294" t="s">
        <v>615</v>
      </c>
      <c r="D1469" s="295" t="s">
        <v>1067</v>
      </c>
      <c r="E1469" s="296">
        <v>4</v>
      </c>
      <c r="F1469" s="294">
        <v>14.4</v>
      </c>
      <c r="G1469" s="308">
        <f t="shared" si="218"/>
        <v>14.273885050000001</v>
      </c>
      <c r="H1469" s="294">
        <v>138.5</v>
      </c>
      <c r="I1469" s="297"/>
      <c r="J1469" s="297"/>
      <c r="K1469" s="294">
        <f t="shared" ref="K1469:K1669" si="220">2.5-0.024*F1469</f>
        <v>2.1543999999999999</v>
      </c>
      <c r="L1469" s="294">
        <f t="shared" ref="L1469:L1669" si="221">1/(1.05+1.4*EXP(-0.0604*F1469))</f>
        <v>0.61099561633520971</v>
      </c>
      <c r="M1469" s="309">
        <f t="shared" si="219"/>
        <v>3.7315646129257178</v>
      </c>
      <c r="N1469" s="294">
        <v>0</v>
      </c>
      <c r="O1469" s="294" t="str">
        <f t="shared" si="212"/>
        <v/>
      </c>
      <c r="P1469" s="294"/>
    </row>
    <row r="1470" spans="1:16">
      <c r="A1470" s="294"/>
      <c r="B1470" s="294" t="s">
        <v>406</v>
      </c>
      <c r="C1470" s="294" t="s">
        <v>615</v>
      </c>
      <c r="D1470" s="295" t="s">
        <v>1067</v>
      </c>
      <c r="E1470" s="296">
        <v>5</v>
      </c>
      <c r="F1470" s="294">
        <v>18.399999999999999</v>
      </c>
      <c r="G1470" s="308">
        <f t="shared" si="218"/>
        <v>20.733239099999999</v>
      </c>
      <c r="H1470" s="294">
        <v>241</v>
      </c>
      <c r="I1470" s="297"/>
      <c r="J1470" s="297"/>
      <c r="K1470" s="294">
        <f t="shared" si="220"/>
        <v>2.0583999999999998</v>
      </c>
      <c r="L1470" s="294">
        <f t="shared" si="221"/>
        <v>0.66192047983258717</v>
      </c>
      <c r="M1470" s="309">
        <f t="shared" si="219"/>
        <v>5.6670576024376729</v>
      </c>
      <c r="N1470" s="294">
        <v>0</v>
      </c>
      <c r="O1470" s="294" t="str">
        <f t="shared" si="212"/>
        <v/>
      </c>
      <c r="P1470" s="294"/>
    </row>
    <row r="1471" spans="1:16">
      <c r="A1471" s="294"/>
      <c r="B1471" s="294" t="s">
        <v>406</v>
      </c>
      <c r="C1471" s="294" t="s">
        <v>615</v>
      </c>
      <c r="D1471" s="295" t="s">
        <v>1067</v>
      </c>
      <c r="E1471" s="296">
        <v>6</v>
      </c>
      <c r="F1471" s="294">
        <v>20.7</v>
      </c>
      <c r="G1471" s="308">
        <f t="shared" si="218"/>
        <v>15.09971522</v>
      </c>
      <c r="H1471" s="294">
        <v>115.4</v>
      </c>
      <c r="I1471" s="297"/>
      <c r="J1471" s="297"/>
      <c r="K1471" s="294">
        <f t="shared" si="220"/>
        <v>2.0032000000000001</v>
      </c>
      <c r="L1471" s="294">
        <f t="shared" si="221"/>
        <v>0.68918252559756299</v>
      </c>
      <c r="M1471" s="309">
        <f t="shared" si="219"/>
        <v>4.5790444512581425</v>
      </c>
      <c r="N1471" s="294">
        <v>0</v>
      </c>
      <c r="O1471" s="294" t="str">
        <f t="shared" si="212"/>
        <v/>
      </c>
      <c r="P1471" s="294"/>
    </row>
    <row r="1472" spans="1:16">
      <c r="A1472" s="294"/>
      <c r="B1472" s="294" t="s">
        <v>406</v>
      </c>
      <c r="C1472" s="294" t="s">
        <v>615</v>
      </c>
      <c r="D1472" s="295" t="s">
        <v>1067</v>
      </c>
      <c r="E1472" s="296">
        <v>7</v>
      </c>
      <c r="F1472" s="294">
        <v>23.9</v>
      </c>
      <c r="G1472" s="308">
        <f t="shared" si="218"/>
        <v>14.849199910000001</v>
      </c>
      <c r="H1472" s="294">
        <v>118.7</v>
      </c>
      <c r="I1472" s="297"/>
      <c r="J1472" s="297"/>
      <c r="K1472" s="294">
        <f t="shared" si="220"/>
        <v>1.9264000000000001</v>
      </c>
      <c r="L1472" s="294">
        <f t="shared" si="221"/>
        <v>0.72436467251145376</v>
      </c>
      <c r="M1472" s="309">
        <f t="shared" si="219"/>
        <v>4.8662760996001282</v>
      </c>
      <c r="N1472" s="294">
        <v>1</v>
      </c>
      <c r="O1472" s="294">
        <f t="shared" si="212"/>
        <v>4.8662760996001282</v>
      </c>
      <c r="P1472" s="294"/>
    </row>
    <row r="1473" spans="1:16">
      <c r="A1473" s="294"/>
      <c r="B1473" s="294" t="s">
        <v>406</v>
      </c>
      <c r="C1473" s="294" t="s">
        <v>615</v>
      </c>
      <c r="D1473" s="295" t="s">
        <v>1067</v>
      </c>
      <c r="E1473" s="296">
        <v>8</v>
      </c>
      <c r="F1473" s="294">
        <v>25.9</v>
      </c>
      <c r="G1473" s="308">
        <f t="shared" si="218"/>
        <v>16.660102930000001</v>
      </c>
      <c r="H1473" s="294">
        <v>175.1</v>
      </c>
      <c r="I1473" s="297"/>
      <c r="J1473" s="297"/>
      <c r="K1473" s="294">
        <f t="shared" si="220"/>
        <v>1.8784000000000001</v>
      </c>
      <c r="L1473" s="294">
        <f t="shared" si="221"/>
        <v>0.7446511958168045</v>
      </c>
      <c r="M1473" s="309">
        <f t="shared" si="219"/>
        <v>5.6207541288755589</v>
      </c>
      <c r="N1473" s="294">
        <v>1</v>
      </c>
      <c r="O1473" s="294">
        <f t="shared" si="212"/>
        <v>5.6207541288755589</v>
      </c>
      <c r="P1473" s="294"/>
    </row>
    <row r="1474" spans="1:16">
      <c r="A1474" s="294"/>
      <c r="B1474" s="294" t="s">
        <v>406</v>
      </c>
      <c r="C1474" s="294" t="s">
        <v>615</v>
      </c>
      <c r="D1474" s="295" t="s">
        <v>1067</v>
      </c>
      <c r="E1474" s="296">
        <v>9</v>
      </c>
      <c r="F1474" s="294">
        <v>22.2</v>
      </c>
      <c r="G1474" s="308">
        <f t="shared" si="218"/>
        <v>13.128696789999999</v>
      </c>
      <c r="H1474" s="294">
        <v>136.30000000000001</v>
      </c>
      <c r="I1474" s="297"/>
      <c r="J1474" s="297"/>
      <c r="K1474" s="294">
        <f t="shared" si="220"/>
        <v>1.9672000000000001</v>
      </c>
      <c r="L1474" s="294">
        <f t="shared" si="221"/>
        <v>0.70608430100171982</v>
      </c>
      <c r="M1474" s="309">
        <f t="shared" si="219"/>
        <v>4.2223634548427542</v>
      </c>
      <c r="N1474" s="294">
        <v>0</v>
      </c>
      <c r="O1474" s="294" t="str">
        <f t="shared" ref="O1474:O1537" si="222">IF(N1474*M1474=0,"",N1474*M1474)</f>
        <v/>
      </c>
      <c r="P1474" s="294"/>
    </row>
    <row r="1475" spans="1:16">
      <c r="A1475" s="294"/>
      <c r="B1475" s="294" t="s">
        <v>406</v>
      </c>
      <c r="C1475" s="294" t="s">
        <v>615</v>
      </c>
      <c r="D1475" s="295" t="s">
        <v>1067</v>
      </c>
      <c r="E1475" s="296">
        <v>10</v>
      </c>
      <c r="F1475" s="294">
        <v>18.3</v>
      </c>
      <c r="G1475" s="308">
        <f t="shared" si="218"/>
        <v>13.960240710000001</v>
      </c>
      <c r="H1475" s="294">
        <v>220.7</v>
      </c>
      <c r="I1475" s="297"/>
      <c r="J1475" s="297"/>
      <c r="K1475" s="294">
        <f t="shared" si="220"/>
        <v>2.0608</v>
      </c>
      <c r="L1475" s="294">
        <f t="shared" si="221"/>
        <v>0.66069972168755697</v>
      </c>
      <c r="M1475" s="309">
        <f t="shared" si="219"/>
        <v>4.0475439466088687</v>
      </c>
      <c r="N1475" s="294">
        <v>0</v>
      </c>
      <c r="O1475" s="294" t="str">
        <f t="shared" si="222"/>
        <v/>
      </c>
      <c r="P1475" s="294"/>
    </row>
    <row r="1476" spans="1:16">
      <c r="A1476" s="294"/>
      <c r="B1476" s="294" t="s">
        <v>406</v>
      </c>
      <c r="C1476" s="294" t="s">
        <v>615</v>
      </c>
      <c r="D1476" s="295" t="s">
        <v>1067</v>
      </c>
      <c r="E1476" s="296">
        <v>11</v>
      </c>
      <c r="F1476" s="294">
        <v>15</v>
      </c>
      <c r="G1476" s="308">
        <f t="shared" si="218"/>
        <v>6.2079133500000001</v>
      </c>
      <c r="H1476" s="294">
        <v>79.5</v>
      </c>
      <c r="I1476" s="297"/>
      <c r="J1476" s="297"/>
      <c r="K1476" s="294">
        <f t="shared" si="220"/>
        <v>2.14</v>
      </c>
      <c r="L1476" s="294">
        <f t="shared" si="221"/>
        <v>0.61889132462533447</v>
      </c>
      <c r="M1476" s="309">
        <f t="shared" si="219"/>
        <v>2.0667549188672192</v>
      </c>
      <c r="N1476" s="294">
        <v>0</v>
      </c>
      <c r="O1476" s="294" t="str">
        <f t="shared" si="222"/>
        <v/>
      </c>
      <c r="P1476" s="294"/>
    </row>
    <row r="1477" spans="1:16">
      <c r="A1477" s="294"/>
      <c r="B1477" s="294" t="s">
        <v>406</v>
      </c>
      <c r="C1477" s="294" t="s">
        <v>615</v>
      </c>
      <c r="D1477" s="295" t="s">
        <v>1067</v>
      </c>
      <c r="E1477" s="296">
        <v>12</v>
      </c>
      <c r="F1477" s="294">
        <v>9.6</v>
      </c>
      <c r="G1477" s="308">
        <f t="shared" si="218"/>
        <v>6.6879881899999996</v>
      </c>
      <c r="H1477" s="294">
        <v>118.3</v>
      </c>
      <c r="I1477" s="297"/>
      <c r="J1477" s="297"/>
      <c r="K1477" s="294">
        <f t="shared" si="220"/>
        <v>2.2696000000000001</v>
      </c>
      <c r="L1477" s="294">
        <f t="shared" si="221"/>
        <v>0.54526128290874298</v>
      </c>
      <c r="M1477" s="309">
        <f t="shared" si="219"/>
        <v>1.9273951595842016</v>
      </c>
      <c r="N1477" s="294">
        <v>0</v>
      </c>
      <c r="O1477" s="294" t="str">
        <f t="shared" si="222"/>
        <v/>
      </c>
      <c r="P1477" s="294"/>
    </row>
    <row r="1478" spans="1:16">
      <c r="A1478" s="294">
        <v>124</v>
      </c>
      <c r="B1478" s="294" t="s">
        <v>406</v>
      </c>
      <c r="C1478" s="294" t="s">
        <v>616</v>
      </c>
      <c r="D1478" s="295" t="s">
        <v>1067</v>
      </c>
      <c r="E1478" s="296">
        <v>1</v>
      </c>
      <c r="F1478" s="294">
        <v>7.7</v>
      </c>
      <c r="G1478" s="308">
        <f t="shared" si="218"/>
        <v>6.7609955800000003</v>
      </c>
      <c r="H1478" s="294">
        <v>104.6</v>
      </c>
      <c r="I1478" s="306">
        <v>0.57899999999999996</v>
      </c>
      <c r="J1478" s="307">
        <v>1.34</v>
      </c>
      <c r="K1478" s="294">
        <f t="shared" si="220"/>
        <v>2.3151999999999999</v>
      </c>
      <c r="L1478" s="294">
        <f t="shared" si="221"/>
        <v>0.51831765727127777</v>
      </c>
      <c r="M1478" s="309">
        <f>$I$1478*L1478*(G1478/K1478)+$J$1478</f>
        <v>2.2163885723572263</v>
      </c>
      <c r="N1478" s="294">
        <v>0</v>
      </c>
      <c r="O1478" s="294" t="str">
        <f t="shared" si="222"/>
        <v/>
      </c>
      <c r="P1478" s="294">
        <f>AVERAGE(O1478:O1489)</f>
        <v>4.8473770971523855</v>
      </c>
    </row>
    <row r="1479" spans="1:16">
      <c r="A1479" s="294"/>
      <c r="B1479" s="294" t="s">
        <v>406</v>
      </c>
      <c r="C1479" s="294" t="s">
        <v>616</v>
      </c>
      <c r="D1479" s="295" t="s">
        <v>1067</v>
      </c>
      <c r="E1479" s="296">
        <v>2</v>
      </c>
      <c r="F1479" s="294">
        <v>7.3</v>
      </c>
      <c r="G1479" s="308">
        <f t="shared" si="218"/>
        <v>8.9946072499999996</v>
      </c>
      <c r="H1479" s="294">
        <v>100.5</v>
      </c>
      <c r="I1479" s="297"/>
      <c r="J1479" s="297"/>
      <c r="K1479" s="294">
        <f t="shared" si="220"/>
        <v>2.3248000000000002</v>
      </c>
      <c r="L1479" s="294">
        <f t="shared" si="221"/>
        <v>0.5126044692087397</v>
      </c>
      <c r="M1479" s="309">
        <f t="shared" ref="M1479:M1489" si="223">$I$1478*L1479*(G1479/K1479)+$J$1478</f>
        <v>2.4883058033803875</v>
      </c>
      <c r="N1479" s="294">
        <v>0</v>
      </c>
      <c r="O1479" s="294" t="str">
        <f t="shared" si="222"/>
        <v/>
      </c>
      <c r="P1479" s="294"/>
    </row>
    <row r="1480" spans="1:16">
      <c r="A1480" s="294"/>
      <c r="B1480" s="294" t="s">
        <v>406</v>
      </c>
      <c r="C1480" s="294" t="s">
        <v>616</v>
      </c>
      <c r="D1480" s="295" t="s">
        <v>1067</v>
      </c>
      <c r="E1480" s="296">
        <v>3</v>
      </c>
      <c r="F1480" s="294">
        <v>10.199999999999999</v>
      </c>
      <c r="G1480" s="308">
        <f t="shared" si="218"/>
        <v>14.63288975</v>
      </c>
      <c r="H1480" s="294">
        <v>188.5</v>
      </c>
      <c r="I1480" s="297"/>
      <c r="J1480" s="297"/>
      <c r="K1480" s="294">
        <f t="shared" si="220"/>
        <v>2.2551999999999999</v>
      </c>
      <c r="L1480" s="294">
        <f t="shared" si="221"/>
        <v>0.55368525424125736</v>
      </c>
      <c r="M1480" s="309">
        <f t="shared" si="223"/>
        <v>3.4201112309312034</v>
      </c>
      <c r="N1480" s="294">
        <v>0</v>
      </c>
      <c r="O1480" s="294" t="str">
        <f t="shared" si="222"/>
        <v/>
      </c>
      <c r="P1480" s="294"/>
    </row>
    <row r="1481" spans="1:16">
      <c r="A1481" s="294"/>
      <c r="B1481" s="294" t="s">
        <v>406</v>
      </c>
      <c r="C1481" s="294" t="s">
        <v>616</v>
      </c>
      <c r="D1481" s="295" t="s">
        <v>1067</v>
      </c>
      <c r="E1481" s="296">
        <v>4</v>
      </c>
      <c r="F1481" s="294">
        <v>14.7</v>
      </c>
      <c r="G1481" s="308">
        <f t="shared" si="218"/>
        <v>15.011297709999999</v>
      </c>
      <c r="H1481" s="294">
        <v>154.69999999999999</v>
      </c>
      <c r="I1481" s="297"/>
      <c r="J1481" s="297"/>
      <c r="K1481" s="294">
        <f t="shared" si="220"/>
        <v>2.1471999999999998</v>
      </c>
      <c r="L1481" s="294">
        <f t="shared" si="221"/>
        <v>0.61495389297523528</v>
      </c>
      <c r="M1481" s="309">
        <f t="shared" si="223"/>
        <v>3.8292405010953665</v>
      </c>
      <c r="N1481" s="294">
        <v>0</v>
      </c>
      <c r="O1481" s="294" t="str">
        <f t="shared" si="222"/>
        <v/>
      </c>
      <c r="P1481" s="294"/>
    </row>
    <row r="1482" spans="1:16">
      <c r="A1482" s="294"/>
      <c r="B1482" s="294" t="s">
        <v>406</v>
      </c>
      <c r="C1482" s="294" t="s">
        <v>616</v>
      </c>
      <c r="D1482" s="295" t="s">
        <v>1067</v>
      </c>
      <c r="E1482" s="296">
        <v>5</v>
      </c>
      <c r="F1482" s="294">
        <v>18.5</v>
      </c>
      <c r="G1482" s="308">
        <f t="shared" si="218"/>
        <v>19.631672040000002</v>
      </c>
      <c r="H1482" s="294">
        <v>216.8</v>
      </c>
      <c r="I1482" s="297"/>
      <c r="J1482" s="297"/>
      <c r="K1482" s="294">
        <f t="shared" si="220"/>
        <v>2.056</v>
      </c>
      <c r="L1482" s="294">
        <f t="shared" si="221"/>
        <v>0.6631383655085662</v>
      </c>
      <c r="M1482" s="309">
        <f t="shared" si="223"/>
        <v>5.0062062899798487</v>
      </c>
      <c r="N1482" s="294">
        <v>0</v>
      </c>
      <c r="O1482" s="294" t="str">
        <f t="shared" si="222"/>
        <v/>
      </c>
      <c r="P1482" s="294"/>
    </row>
    <row r="1483" spans="1:16">
      <c r="A1483" s="294"/>
      <c r="B1483" s="294" t="s">
        <v>406</v>
      </c>
      <c r="C1483" s="294" t="s">
        <v>616</v>
      </c>
      <c r="D1483" s="295" t="s">
        <v>1067</v>
      </c>
      <c r="E1483" s="296">
        <v>6</v>
      </c>
      <c r="F1483" s="294">
        <v>20.5</v>
      </c>
      <c r="G1483" s="308">
        <f t="shared" si="218"/>
        <v>14.47610081</v>
      </c>
      <c r="H1483" s="294">
        <v>101.7</v>
      </c>
      <c r="I1483" s="297"/>
      <c r="J1483" s="297"/>
      <c r="K1483" s="294">
        <f t="shared" si="220"/>
        <v>2.008</v>
      </c>
      <c r="L1483" s="294">
        <f t="shared" si="221"/>
        <v>0.6868755481020804</v>
      </c>
      <c r="M1483" s="309">
        <f t="shared" si="223"/>
        <v>4.2071110227622448</v>
      </c>
      <c r="N1483" s="294">
        <v>0</v>
      </c>
      <c r="O1483" s="294" t="str">
        <f t="shared" si="222"/>
        <v/>
      </c>
      <c r="P1483" s="294"/>
    </row>
    <row r="1484" spans="1:16">
      <c r="A1484" s="294"/>
      <c r="B1484" s="294" t="s">
        <v>406</v>
      </c>
      <c r="C1484" s="294" t="s">
        <v>616</v>
      </c>
      <c r="D1484" s="295" t="s">
        <v>1067</v>
      </c>
      <c r="E1484" s="296">
        <v>7</v>
      </c>
      <c r="F1484" s="294">
        <v>23.4</v>
      </c>
      <c r="G1484" s="308">
        <f t="shared" si="218"/>
        <v>13.89784654</v>
      </c>
      <c r="H1484" s="294">
        <v>97.8</v>
      </c>
      <c r="I1484" s="297"/>
      <c r="J1484" s="297"/>
      <c r="K1484" s="294">
        <f t="shared" si="220"/>
        <v>1.9384000000000001</v>
      </c>
      <c r="L1484" s="294">
        <f t="shared" si="221"/>
        <v>0.71908608973973653</v>
      </c>
      <c r="M1484" s="309">
        <f t="shared" si="223"/>
        <v>4.325132152260438</v>
      </c>
      <c r="N1484" s="294">
        <v>1</v>
      </c>
      <c r="O1484" s="294">
        <f t="shared" si="222"/>
        <v>4.325132152260438</v>
      </c>
      <c r="P1484" s="294"/>
    </row>
    <row r="1485" spans="1:16">
      <c r="A1485" s="294"/>
      <c r="B1485" s="294" t="s">
        <v>406</v>
      </c>
      <c r="C1485" s="294" t="s">
        <v>616</v>
      </c>
      <c r="D1485" s="295" t="s">
        <v>1067</v>
      </c>
      <c r="E1485" s="296">
        <v>8</v>
      </c>
      <c r="F1485" s="294">
        <v>25.6</v>
      </c>
      <c r="G1485" s="308">
        <f t="shared" si="218"/>
        <v>17.693391040000002</v>
      </c>
      <c r="H1485" s="294">
        <v>197.8</v>
      </c>
      <c r="I1485" s="297"/>
      <c r="J1485" s="297"/>
      <c r="K1485" s="294">
        <f t="shared" si="220"/>
        <v>1.8855999999999999</v>
      </c>
      <c r="L1485" s="294">
        <f t="shared" si="221"/>
        <v>0.74169310776479802</v>
      </c>
      <c r="M1485" s="309">
        <f t="shared" si="223"/>
        <v>5.369622042044333</v>
      </c>
      <c r="N1485" s="294">
        <v>1</v>
      </c>
      <c r="O1485" s="294">
        <f t="shared" si="222"/>
        <v>5.369622042044333</v>
      </c>
      <c r="P1485" s="294"/>
    </row>
    <row r="1486" spans="1:16">
      <c r="A1486" s="294"/>
      <c r="B1486" s="294" t="s">
        <v>406</v>
      </c>
      <c r="C1486" s="294" t="s">
        <v>616</v>
      </c>
      <c r="D1486" s="295" t="s">
        <v>1067</v>
      </c>
      <c r="E1486" s="296">
        <v>9</v>
      </c>
      <c r="F1486" s="294">
        <v>22.2</v>
      </c>
      <c r="G1486" s="308">
        <f t="shared" si="218"/>
        <v>13.274358549999999</v>
      </c>
      <c r="H1486" s="294">
        <v>139.5</v>
      </c>
      <c r="I1486" s="297"/>
      <c r="J1486" s="297"/>
      <c r="K1486" s="294">
        <f t="shared" si="220"/>
        <v>1.9672000000000001</v>
      </c>
      <c r="L1486" s="294">
        <f t="shared" si="221"/>
        <v>0.70608430100171982</v>
      </c>
      <c r="M1486" s="309">
        <f t="shared" si="223"/>
        <v>4.0986725127466901</v>
      </c>
      <c r="N1486" s="294">
        <v>0</v>
      </c>
      <c r="O1486" s="294" t="str">
        <f t="shared" si="222"/>
        <v/>
      </c>
      <c r="P1486" s="294"/>
    </row>
    <row r="1487" spans="1:16">
      <c r="A1487" s="294"/>
      <c r="B1487" s="294" t="s">
        <v>406</v>
      </c>
      <c r="C1487" s="294" t="s">
        <v>616</v>
      </c>
      <c r="D1487" s="295" t="s">
        <v>1067</v>
      </c>
      <c r="E1487" s="296">
        <v>10</v>
      </c>
      <c r="F1487" s="294">
        <v>18.5</v>
      </c>
      <c r="G1487" s="308">
        <f t="shared" si="218"/>
        <v>14.019415799999997</v>
      </c>
      <c r="H1487" s="294">
        <v>222</v>
      </c>
      <c r="I1487" s="297"/>
      <c r="J1487" s="297"/>
      <c r="K1487" s="294">
        <f t="shared" si="220"/>
        <v>2.056</v>
      </c>
      <c r="L1487" s="294">
        <f t="shared" si="221"/>
        <v>0.6631383655085662</v>
      </c>
      <c r="M1487" s="309">
        <f t="shared" si="223"/>
        <v>3.9581198566825107</v>
      </c>
      <c r="N1487" s="294">
        <v>0</v>
      </c>
      <c r="O1487" s="294" t="str">
        <f t="shared" si="222"/>
        <v/>
      </c>
      <c r="P1487" s="294"/>
    </row>
    <row r="1488" spans="1:16">
      <c r="A1488" s="294"/>
      <c r="B1488" s="294" t="s">
        <v>406</v>
      </c>
      <c r="C1488" s="294" t="s">
        <v>616</v>
      </c>
      <c r="D1488" s="295" t="s">
        <v>1067</v>
      </c>
      <c r="E1488" s="296">
        <v>11</v>
      </c>
      <c r="F1488" s="294">
        <v>15.7</v>
      </c>
      <c r="G1488" s="308">
        <f t="shared" si="218"/>
        <v>6.7996642499999993</v>
      </c>
      <c r="H1488" s="294">
        <v>92.5</v>
      </c>
      <c r="I1488" s="297"/>
      <c r="J1488" s="297"/>
      <c r="K1488" s="294">
        <f t="shared" si="220"/>
        <v>2.1232000000000002</v>
      </c>
      <c r="L1488" s="294">
        <f t="shared" si="221"/>
        <v>0.62799494455985572</v>
      </c>
      <c r="M1488" s="309">
        <f t="shared" si="223"/>
        <v>2.5044779643815174</v>
      </c>
      <c r="N1488" s="294">
        <v>0</v>
      </c>
      <c r="O1488" s="294" t="str">
        <f t="shared" si="222"/>
        <v/>
      </c>
      <c r="P1488" s="294"/>
    </row>
    <row r="1489" spans="1:16">
      <c r="A1489" s="294"/>
      <c r="B1489" s="294" t="s">
        <v>406</v>
      </c>
      <c r="C1489" s="294" t="s">
        <v>616</v>
      </c>
      <c r="D1489" s="295" t="s">
        <v>1067</v>
      </c>
      <c r="E1489" s="296">
        <v>12</v>
      </c>
      <c r="F1489" s="294">
        <v>10.5</v>
      </c>
      <c r="G1489" s="308">
        <f t="shared" si="218"/>
        <v>5.4589670900000007</v>
      </c>
      <c r="H1489" s="294">
        <v>91.3</v>
      </c>
      <c r="I1489" s="297"/>
      <c r="J1489" s="297"/>
      <c r="K1489" s="294">
        <f t="shared" si="220"/>
        <v>2.2480000000000002</v>
      </c>
      <c r="L1489" s="294">
        <f t="shared" si="221"/>
        <v>0.55787898239898637</v>
      </c>
      <c r="M1489" s="309">
        <f t="shared" si="223"/>
        <v>2.124391236638683</v>
      </c>
      <c r="N1489" s="294">
        <v>0</v>
      </c>
      <c r="O1489" s="294" t="str">
        <f t="shared" si="222"/>
        <v/>
      </c>
      <c r="P1489" s="294"/>
    </row>
    <row r="1490" spans="1:16">
      <c r="A1490" s="294">
        <v>125</v>
      </c>
      <c r="B1490" s="294" t="s">
        <v>406</v>
      </c>
      <c r="C1490" s="294" t="s">
        <v>617</v>
      </c>
      <c r="D1490" s="295" t="s">
        <v>1067</v>
      </c>
      <c r="E1490" s="296">
        <v>1</v>
      </c>
      <c r="F1490" s="294">
        <v>7.7</v>
      </c>
      <c r="G1490" s="308">
        <f t="shared" si="218"/>
        <v>7.6395180700000003</v>
      </c>
      <c r="H1490" s="294">
        <v>123.9</v>
      </c>
      <c r="I1490" s="306">
        <v>0.83099999999999996</v>
      </c>
      <c r="J1490" s="307">
        <v>0.18</v>
      </c>
      <c r="K1490" s="294">
        <f t="shared" si="220"/>
        <v>2.3151999999999999</v>
      </c>
      <c r="L1490" s="294">
        <f t="shared" si="221"/>
        <v>0.51831765727127777</v>
      </c>
      <c r="M1490" s="309">
        <f>$I$1490*L1490*(G1490/K1490)+$J$1490</f>
        <v>1.6012630862774873</v>
      </c>
      <c r="N1490" s="294">
        <v>0</v>
      </c>
      <c r="O1490" s="294" t="str">
        <f t="shared" si="222"/>
        <v/>
      </c>
      <c r="P1490" s="294">
        <f>AVERAGE(O1490:O1501)</f>
        <v>5.6447095007481565</v>
      </c>
    </row>
    <row r="1491" spans="1:16">
      <c r="A1491" s="294"/>
      <c r="B1491" s="294" t="s">
        <v>406</v>
      </c>
      <c r="C1491" s="294" t="s">
        <v>617</v>
      </c>
      <c r="D1491" s="295" t="s">
        <v>1067</v>
      </c>
      <c r="E1491" s="296">
        <v>2</v>
      </c>
      <c r="F1491" s="294">
        <v>7.4</v>
      </c>
      <c r="G1491" s="308">
        <f t="shared" si="218"/>
        <v>9.5271830600000005</v>
      </c>
      <c r="H1491" s="294">
        <v>112.2</v>
      </c>
      <c r="I1491" s="297"/>
      <c r="J1491" s="297"/>
      <c r="K1491" s="294">
        <f t="shared" si="220"/>
        <v>2.3224</v>
      </c>
      <c r="L1491" s="294">
        <f t="shared" si="221"/>
        <v>0.51403382065240233</v>
      </c>
      <c r="M1491" s="309">
        <f t="shared" ref="M1491:M1501" si="224">$I$1490*L1491*(G1491/K1491)+$J$1490</f>
        <v>1.9323473864404503</v>
      </c>
      <c r="N1491" s="294">
        <v>0</v>
      </c>
      <c r="O1491" s="294" t="str">
        <f t="shared" si="222"/>
        <v/>
      </c>
      <c r="P1491" s="294"/>
    </row>
    <row r="1492" spans="1:16">
      <c r="A1492" s="294"/>
      <c r="B1492" s="294" t="s">
        <v>406</v>
      </c>
      <c r="C1492" s="294" t="s">
        <v>617</v>
      </c>
      <c r="D1492" s="295" t="s">
        <v>1067</v>
      </c>
      <c r="E1492" s="296">
        <v>3</v>
      </c>
      <c r="F1492" s="294">
        <v>11</v>
      </c>
      <c r="G1492" s="308">
        <f t="shared" si="218"/>
        <v>14.66020133</v>
      </c>
      <c r="H1492" s="294">
        <v>189.1</v>
      </c>
      <c r="I1492" s="297"/>
      <c r="J1492" s="297"/>
      <c r="K1492" s="294">
        <f t="shared" si="220"/>
        <v>2.2359999999999998</v>
      </c>
      <c r="L1492" s="294">
        <f t="shared" si="221"/>
        <v>0.56483929877471772</v>
      </c>
      <c r="M1492" s="309">
        <f t="shared" si="224"/>
        <v>3.2574716745616468</v>
      </c>
      <c r="N1492" s="294">
        <v>0</v>
      </c>
      <c r="O1492" s="294" t="str">
        <f t="shared" si="222"/>
        <v/>
      </c>
      <c r="P1492" s="294"/>
    </row>
    <row r="1493" spans="1:16">
      <c r="A1493" s="294"/>
      <c r="B1493" s="294" t="s">
        <v>406</v>
      </c>
      <c r="C1493" s="294" t="s">
        <v>617</v>
      </c>
      <c r="D1493" s="295" t="s">
        <v>1067</v>
      </c>
      <c r="E1493" s="296">
        <v>4</v>
      </c>
      <c r="F1493" s="294">
        <v>16.3</v>
      </c>
      <c r="G1493" s="308">
        <f t="shared" si="218"/>
        <v>15.29351737</v>
      </c>
      <c r="H1493" s="294">
        <v>160.9</v>
      </c>
      <c r="I1493" s="297"/>
      <c r="J1493" s="297"/>
      <c r="K1493" s="294">
        <f t="shared" si="220"/>
        <v>2.1088</v>
      </c>
      <c r="L1493" s="294">
        <f t="shared" si="221"/>
        <v>0.63570126432395468</v>
      </c>
      <c r="M1493" s="309">
        <f t="shared" si="224"/>
        <v>4.0111229232860577</v>
      </c>
      <c r="N1493" s="294">
        <v>0</v>
      </c>
      <c r="O1493" s="294" t="str">
        <f t="shared" si="222"/>
        <v/>
      </c>
      <c r="P1493" s="294"/>
    </row>
    <row r="1494" spans="1:16">
      <c r="A1494" s="294"/>
      <c r="B1494" s="294" t="s">
        <v>406</v>
      </c>
      <c r="C1494" s="294" t="s">
        <v>617</v>
      </c>
      <c r="D1494" s="295" t="s">
        <v>1067</v>
      </c>
      <c r="E1494" s="296">
        <v>5</v>
      </c>
      <c r="F1494" s="294">
        <v>20.100000000000001</v>
      </c>
      <c r="G1494" s="308">
        <f t="shared" si="218"/>
        <v>19.781885729999999</v>
      </c>
      <c r="H1494" s="294">
        <v>220.1</v>
      </c>
      <c r="I1494" s="297"/>
      <c r="J1494" s="297"/>
      <c r="K1494" s="294">
        <f t="shared" si="220"/>
        <v>2.0175999999999998</v>
      </c>
      <c r="L1494" s="294">
        <f t="shared" si="221"/>
        <v>0.68222457536345948</v>
      </c>
      <c r="M1494" s="309">
        <f t="shared" si="224"/>
        <v>5.7385434278267997</v>
      </c>
      <c r="N1494" s="294">
        <v>0</v>
      </c>
      <c r="O1494" s="294" t="str">
        <f t="shared" si="222"/>
        <v/>
      </c>
      <c r="P1494" s="294"/>
    </row>
    <row r="1495" spans="1:16">
      <c r="A1495" s="294"/>
      <c r="B1495" s="294" t="s">
        <v>406</v>
      </c>
      <c r="C1495" s="294" t="s">
        <v>617</v>
      </c>
      <c r="D1495" s="295" t="s">
        <v>1067</v>
      </c>
      <c r="E1495" s="296">
        <v>6</v>
      </c>
      <c r="F1495" s="294">
        <v>22.2</v>
      </c>
      <c r="G1495" s="308">
        <f t="shared" si="218"/>
        <v>14.29857554</v>
      </c>
      <c r="H1495" s="294">
        <v>97.8</v>
      </c>
      <c r="I1495" s="297"/>
      <c r="J1495" s="297"/>
      <c r="K1495" s="294">
        <f t="shared" si="220"/>
        <v>1.9672000000000001</v>
      </c>
      <c r="L1495" s="294">
        <f t="shared" si="221"/>
        <v>0.70608430100171982</v>
      </c>
      <c r="M1495" s="309">
        <f t="shared" si="224"/>
        <v>4.4448311120195534</v>
      </c>
      <c r="N1495" s="294">
        <v>0</v>
      </c>
      <c r="O1495" s="294" t="str">
        <f t="shared" si="222"/>
        <v/>
      </c>
      <c r="P1495" s="294"/>
    </row>
    <row r="1496" spans="1:16">
      <c r="A1496" s="294"/>
      <c r="B1496" s="294" t="s">
        <v>406</v>
      </c>
      <c r="C1496" s="294" t="s">
        <v>617</v>
      </c>
      <c r="D1496" s="295" t="s">
        <v>1067</v>
      </c>
      <c r="E1496" s="296">
        <v>7</v>
      </c>
      <c r="F1496" s="294">
        <v>25.7</v>
      </c>
      <c r="G1496" s="308">
        <f t="shared" si="218"/>
        <v>14.922030789999999</v>
      </c>
      <c r="H1496" s="294">
        <v>120.3</v>
      </c>
      <c r="I1496" s="297"/>
      <c r="J1496" s="297"/>
      <c r="K1496" s="294">
        <f t="shared" si="220"/>
        <v>1.8832</v>
      </c>
      <c r="L1496" s="294">
        <f t="shared" si="221"/>
        <v>0.74268247605162208</v>
      </c>
      <c r="M1496" s="309">
        <f t="shared" si="224"/>
        <v>5.070302078318023</v>
      </c>
      <c r="N1496" s="294">
        <v>1</v>
      </c>
      <c r="O1496" s="294">
        <f t="shared" si="222"/>
        <v>5.070302078318023</v>
      </c>
      <c r="P1496" s="294"/>
    </row>
    <row r="1497" spans="1:16">
      <c r="A1497" s="294"/>
      <c r="B1497" s="294" t="s">
        <v>406</v>
      </c>
      <c r="C1497" s="294" t="s">
        <v>617</v>
      </c>
      <c r="D1497" s="295" t="s">
        <v>1067</v>
      </c>
      <c r="E1497" s="296">
        <v>8</v>
      </c>
      <c r="F1497" s="294">
        <v>27</v>
      </c>
      <c r="G1497" s="308">
        <f t="shared" si="218"/>
        <v>17.820845080000002</v>
      </c>
      <c r="H1497" s="294">
        <v>200.6</v>
      </c>
      <c r="I1497" s="297"/>
      <c r="J1497" s="297"/>
      <c r="K1497" s="294">
        <f t="shared" si="220"/>
        <v>1.8519999999999999</v>
      </c>
      <c r="L1497" s="294">
        <f t="shared" si="221"/>
        <v>0.75524020561421423</v>
      </c>
      <c r="M1497" s="309">
        <f t="shared" si="224"/>
        <v>6.2191169231782899</v>
      </c>
      <c r="N1497" s="294">
        <v>1</v>
      </c>
      <c r="O1497" s="294">
        <f t="shared" si="222"/>
        <v>6.2191169231782899</v>
      </c>
      <c r="P1497" s="294"/>
    </row>
    <row r="1498" spans="1:16">
      <c r="A1498" s="294"/>
      <c r="B1498" s="294" t="s">
        <v>406</v>
      </c>
      <c r="C1498" s="294" t="s">
        <v>617</v>
      </c>
      <c r="D1498" s="295" t="s">
        <v>1067</v>
      </c>
      <c r="E1498" s="296">
        <v>9</v>
      </c>
      <c r="F1498" s="294">
        <v>23.6</v>
      </c>
      <c r="G1498" s="308">
        <f t="shared" ref="G1498:G1529" si="225">$T$11+$T$12*H1498+INDEX($T$13:$T$24,MATCH(E1498,$S$13:$S$24,0),1)</f>
        <v>14.903949489999999</v>
      </c>
      <c r="H1498" s="294">
        <v>175.3</v>
      </c>
      <c r="I1498" s="297"/>
      <c r="J1498" s="297"/>
      <c r="K1498" s="294">
        <f t="shared" si="220"/>
        <v>1.9336</v>
      </c>
      <c r="L1498" s="294">
        <f t="shared" si="221"/>
        <v>0.72120738477570068</v>
      </c>
      <c r="M1498" s="309">
        <f t="shared" si="224"/>
        <v>4.7995101050266351</v>
      </c>
      <c r="N1498" s="294">
        <v>0</v>
      </c>
      <c r="O1498" s="294" t="str">
        <f t="shared" si="222"/>
        <v/>
      </c>
      <c r="P1498" s="294"/>
    </row>
    <row r="1499" spans="1:16">
      <c r="A1499" s="294"/>
      <c r="B1499" s="294" t="s">
        <v>406</v>
      </c>
      <c r="C1499" s="294" t="s">
        <v>617</v>
      </c>
      <c r="D1499" s="295" t="s">
        <v>1067</v>
      </c>
      <c r="E1499" s="296">
        <v>10</v>
      </c>
      <c r="F1499" s="294">
        <v>19.3</v>
      </c>
      <c r="G1499" s="308">
        <f t="shared" si="225"/>
        <v>14.747724599999998</v>
      </c>
      <c r="H1499" s="294">
        <v>238</v>
      </c>
      <c r="I1499" s="297"/>
      <c r="J1499" s="297"/>
      <c r="K1499" s="294">
        <f t="shared" si="220"/>
        <v>2.0367999999999999</v>
      </c>
      <c r="L1499" s="294">
        <f t="shared" si="221"/>
        <v>0.67277663480485017</v>
      </c>
      <c r="M1499" s="309">
        <f t="shared" si="224"/>
        <v>4.2280750600369599</v>
      </c>
      <c r="N1499" s="294">
        <v>0</v>
      </c>
      <c r="O1499" s="294" t="str">
        <f t="shared" si="222"/>
        <v/>
      </c>
      <c r="P1499" s="294"/>
    </row>
    <row r="1500" spans="1:16">
      <c r="A1500" s="294"/>
      <c r="B1500" s="294" t="s">
        <v>406</v>
      </c>
      <c r="C1500" s="294" t="s">
        <v>617</v>
      </c>
      <c r="D1500" s="295" t="s">
        <v>1067</v>
      </c>
      <c r="E1500" s="296">
        <v>11</v>
      </c>
      <c r="F1500" s="294">
        <v>16.3</v>
      </c>
      <c r="G1500" s="308">
        <f t="shared" si="225"/>
        <v>7.0818839100000002</v>
      </c>
      <c r="H1500" s="294">
        <v>98.7</v>
      </c>
      <c r="I1500" s="297"/>
      <c r="J1500" s="297"/>
      <c r="K1500" s="294">
        <f t="shared" si="220"/>
        <v>2.1088</v>
      </c>
      <c r="L1500" s="294">
        <f t="shared" si="221"/>
        <v>0.63570126432395468</v>
      </c>
      <c r="M1500" s="309">
        <f t="shared" si="224"/>
        <v>1.9540567543260781</v>
      </c>
      <c r="N1500" s="294">
        <v>0</v>
      </c>
      <c r="O1500" s="294" t="str">
        <f t="shared" si="222"/>
        <v/>
      </c>
      <c r="P1500" s="294"/>
    </row>
    <row r="1501" spans="1:16">
      <c r="A1501" s="294"/>
      <c r="B1501" s="294" t="s">
        <v>406</v>
      </c>
      <c r="C1501" s="294" t="s">
        <v>617</v>
      </c>
      <c r="D1501" s="295" t="s">
        <v>1067</v>
      </c>
      <c r="E1501" s="296">
        <v>12</v>
      </c>
      <c r="F1501" s="294">
        <v>10.4</v>
      </c>
      <c r="G1501" s="308">
        <f t="shared" si="225"/>
        <v>6.23279519</v>
      </c>
      <c r="H1501" s="294">
        <v>108.3</v>
      </c>
      <c r="I1501" s="297"/>
      <c r="J1501" s="297"/>
      <c r="K1501" s="294">
        <f t="shared" si="220"/>
        <v>2.2504</v>
      </c>
      <c r="L1501" s="294">
        <f t="shared" si="221"/>
        <v>0.55648248816913681</v>
      </c>
      <c r="M1501" s="309">
        <f t="shared" si="224"/>
        <v>1.4607833199017226</v>
      </c>
      <c r="N1501" s="294">
        <v>0</v>
      </c>
      <c r="O1501" s="294" t="str">
        <f t="shared" si="222"/>
        <v/>
      </c>
      <c r="P1501" s="294"/>
    </row>
    <row r="1502" spans="1:16">
      <c r="A1502" s="294">
        <v>126</v>
      </c>
      <c r="B1502" s="294" t="s">
        <v>406</v>
      </c>
      <c r="C1502" s="294" t="s">
        <v>618</v>
      </c>
      <c r="D1502" s="295" t="s">
        <v>1067</v>
      </c>
      <c r="E1502" s="296">
        <v>1</v>
      </c>
      <c r="F1502" s="294">
        <v>7.6</v>
      </c>
      <c r="G1502" s="308">
        <f t="shared" si="225"/>
        <v>6.2284197699999995</v>
      </c>
      <c r="H1502" s="294">
        <v>92.9</v>
      </c>
      <c r="I1502" s="306">
        <v>0.85599999999999998</v>
      </c>
      <c r="J1502" s="307">
        <v>1.37</v>
      </c>
      <c r="K1502" s="294">
        <f t="shared" si="220"/>
        <v>2.3176000000000001</v>
      </c>
      <c r="L1502" s="294">
        <f t="shared" si="221"/>
        <v>0.51689044020520014</v>
      </c>
      <c r="M1502" s="309">
        <f>$I$1502*L1502*(G1502/K1502)+$J$1502</f>
        <v>2.5590815951905199</v>
      </c>
      <c r="N1502" s="294">
        <v>0</v>
      </c>
      <c r="O1502" s="294" t="str">
        <f t="shared" si="222"/>
        <v/>
      </c>
      <c r="P1502" s="294">
        <f>AVERAGE(O1502:O1513)</f>
        <v>6.8718742281614524</v>
      </c>
    </row>
    <row r="1503" spans="1:16">
      <c r="A1503" s="294"/>
      <c r="B1503" s="294" t="s">
        <v>406</v>
      </c>
      <c r="C1503" s="294" t="s">
        <v>618</v>
      </c>
      <c r="D1503" s="295" t="s">
        <v>1067</v>
      </c>
      <c r="E1503" s="296">
        <v>2</v>
      </c>
      <c r="F1503" s="294">
        <v>7.2</v>
      </c>
      <c r="G1503" s="308">
        <f t="shared" si="225"/>
        <v>8.5257584600000005</v>
      </c>
      <c r="H1503" s="294">
        <v>90.2</v>
      </c>
      <c r="I1503" s="297"/>
      <c r="J1503" s="297"/>
      <c r="K1503" s="294">
        <f t="shared" si="220"/>
        <v>2.3271999999999999</v>
      </c>
      <c r="L1503" s="294">
        <f t="shared" si="221"/>
        <v>0.51117445743276591</v>
      </c>
      <c r="M1503" s="309">
        <f t="shared" ref="M1503:M1513" si="226">$I$1502*L1503*(G1503/K1503)+$J$1502</f>
        <v>2.9730321250748868</v>
      </c>
      <c r="N1503" s="294">
        <v>0</v>
      </c>
      <c r="O1503" s="294" t="str">
        <f t="shared" si="222"/>
        <v/>
      </c>
      <c r="P1503" s="294"/>
    </row>
    <row r="1504" spans="1:16">
      <c r="A1504" s="294"/>
      <c r="B1504" s="294" t="s">
        <v>406</v>
      </c>
      <c r="C1504" s="294" t="s">
        <v>618</v>
      </c>
      <c r="D1504" s="295" t="s">
        <v>1067</v>
      </c>
      <c r="E1504" s="296">
        <v>3</v>
      </c>
      <c r="F1504" s="294">
        <v>10.1</v>
      </c>
      <c r="G1504" s="308">
        <f t="shared" si="225"/>
        <v>14.118521659999999</v>
      </c>
      <c r="H1504" s="294">
        <v>177.2</v>
      </c>
      <c r="I1504" s="297"/>
      <c r="J1504" s="297"/>
      <c r="K1504" s="294">
        <f t="shared" si="220"/>
        <v>2.2576000000000001</v>
      </c>
      <c r="L1504" s="294">
        <f t="shared" si="221"/>
        <v>0.5522845613647327</v>
      </c>
      <c r="M1504" s="309">
        <f t="shared" si="226"/>
        <v>4.3265068922960266</v>
      </c>
      <c r="N1504" s="294">
        <v>0</v>
      </c>
      <c r="O1504" s="294" t="str">
        <f t="shared" si="222"/>
        <v/>
      </c>
      <c r="P1504" s="294"/>
    </row>
    <row r="1505" spans="1:16">
      <c r="A1505" s="294"/>
      <c r="B1505" s="294" t="s">
        <v>406</v>
      </c>
      <c r="C1505" s="294" t="s">
        <v>618</v>
      </c>
      <c r="D1505" s="295" t="s">
        <v>1067</v>
      </c>
      <c r="E1505" s="296">
        <v>4</v>
      </c>
      <c r="F1505" s="294">
        <v>15.2</v>
      </c>
      <c r="G1505" s="308">
        <f t="shared" si="225"/>
        <v>14.90660332</v>
      </c>
      <c r="H1505" s="294">
        <v>152.4</v>
      </c>
      <c r="I1505" s="297"/>
      <c r="J1505" s="297"/>
      <c r="K1505" s="294">
        <f t="shared" si="220"/>
        <v>2.1352000000000002</v>
      </c>
      <c r="L1505" s="294">
        <f t="shared" si="221"/>
        <v>0.62150446245737101</v>
      </c>
      <c r="M1505" s="309">
        <f t="shared" si="226"/>
        <v>5.0841389723882315</v>
      </c>
      <c r="N1505" s="294">
        <v>0</v>
      </c>
      <c r="O1505" s="294" t="str">
        <f t="shared" si="222"/>
        <v/>
      </c>
      <c r="P1505" s="294"/>
    </row>
    <row r="1506" spans="1:16">
      <c r="A1506" s="294"/>
      <c r="B1506" s="294" t="s">
        <v>406</v>
      </c>
      <c r="C1506" s="294" t="s">
        <v>618</v>
      </c>
      <c r="D1506" s="295" t="s">
        <v>1067</v>
      </c>
      <c r="E1506" s="296">
        <v>5</v>
      </c>
      <c r="F1506" s="294">
        <v>18.8</v>
      </c>
      <c r="G1506" s="308">
        <f t="shared" si="225"/>
        <v>19.531529580000001</v>
      </c>
      <c r="H1506" s="294">
        <v>214.6</v>
      </c>
      <c r="I1506" s="297"/>
      <c r="J1506" s="297"/>
      <c r="K1506" s="294">
        <f t="shared" si="220"/>
        <v>2.0488</v>
      </c>
      <c r="L1506" s="294">
        <f t="shared" si="221"/>
        <v>0.66677466843060351</v>
      </c>
      <c r="M1506" s="309">
        <f t="shared" si="226"/>
        <v>6.8111355723632636</v>
      </c>
      <c r="N1506" s="294">
        <v>0</v>
      </c>
      <c r="O1506" s="294" t="str">
        <f t="shared" si="222"/>
        <v/>
      </c>
      <c r="P1506" s="294"/>
    </row>
    <row r="1507" spans="1:16">
      <c r="A1507" s="294"/>
      <c r="B1507" s="294" t="s">
        <v>406</v>
      </c>
      <c r="C1507" s="294" t="s">
        <v>618</v>
      </c>
      <c r="D1507" s="295" t="s">
        <v>1067</v>
      </c>
      <c r="E1507" s="296">
        <v>6</v>
      </c>
      <c r="F1507" s="294">
        <v>21.2</v>
      </c>
      <c r="G1507" s="308">
        <f t="shared" si="225"/>
        <v>14.10284255</v>
      </c>
      <c r="H1507" s="294">
        <v>93.5</v>
      </c>
      <c r="I1507" s="297"/>
      <c r="J1507" s="297"/>
      <c r="K1507" s="294">
        <f t="shared" si="220"/>
        <v>1.9912000000000001</v>
      </c>
      <c r="L1507" s="294">
        <f t="shared" si="221"/>
        <v>0.69489543911089335</v>
      </c>
      <c r="M1507" s="309">
        <f t="shared" si="226"/>
        <v>5.5829373379464133</v>
      </c>
      <c r="N1507" s="294">
        <v>0</v>
      </c>
      <c r="O1507" s="294" t="str">
        <f t="shared" si="222"/>
        <v/>
      </c>
      <c r="P1507" s="294"/>
    </row>
    <row r="1508" spans="1:16">
      <c r="A1508" s="294"/>
      <c r="B1508" s="294" t="s">
        <v>406</v>
      </c>
      <c r="C1508" s="294" t="s">
        <v>618</v>
      </c>
      <c r="D1508" s="295" t="s">
        <v>1067</v>
      </c>
      <c r="E1508" s="296">
        <v>7</v>
      </c>
      <c r="F1508" s="294">
        <v>24.7</v>
      </c>
      <c r="G1508" s="308">
        <f t="shared" si="225"/>
        <v>15.07224448</v>
      </c>
      <c r="H1508" s="294">
        <v>123.6</v>
      </c>
      <c r="I1508" s="297"/>
      <c r="J1508" s="297"/>
      <c r="K1508" s="294">
        <f t="shared" si="220"/>
        <v>1.9072</v>
      </c>
      <c r="L1508" s="294">
        <f t="shared" si="221"/>
        <v>0.73263879001027088</v>
      </c>
      <c r="M1508" s="309">
        <f t="shared" si="226"/>
        <v>6.3261605392893534</v>
      </c>
      <c r="N1508" s="294">
        <v>1</v>
      </c>
      <c r="O1508" s="294">
        <f t="shared" si="222"/>
        <v>6.3261605392893534</v>
      </c>
      <c r="P1508" s="294"/>
    </row>
    <row r="1509" spans="1:16">
      <c r="A1509" s="294"/>
      <c r="B1509" s="294" t="s">
        <v>406</v>
      </c>
      <c r="C1509" s="294" t="s">
        <v>618</v>
      </c>
      <c r="D1509" s="295" t="s">
        <v>1067</v>
      </c>
      <c r="E1509" s="296">
        <v>8</v>
      </c>
      <c r="F1509" s="294">
        <v>26</v>
      </c>
      <c r="G1509" s="308">
        <f t="shared" si="225"/>
        <v>17.775325779999999</v>
      </c>
      <c r="H1509" s="294">
        <v>199.6</v>
      </c>
      <c r="I1509" s="297"/>
      <c r="J1509" s="297"/>
      <c r="K1509" s="294">
        <f t="shared" si="220"/>
        <v>1.8759999999999999</v>
      </c>
      <c r="L1509" s="294">
        <f t="shared" si="221"/>
        <v>0.74563054537472673</v>
      </c>
      <c r="M1509" s="309">
        <f t="shared" si="226"/>
        <v>7.4175879170335506</v>
      </c>
      <c r="N1509" s="294">
        <v>1</v>
      </c>
      <c r="O1509" s="294">
        <f t="shared" si="222"/>
        <v>7.4175879170335506</v>
      </c>
      <c r="P1509" s="294"/>
    </row>
    <row r="1510" spans="1:16">
      <c r="A1510" s="294"/>
      <c r="B1510" s="294" t="s">
        <v>406</v>
      </c>
      <c r="C1510" s="294" t="s">
        <v>618</v>
      </c>
      <c r="D1510" s="295" t="s">
        <v>1067</v>
      </c>
      <c r="E1510" s="296">
        <v>9</v>
      </c>
      <c r="F1510" s="294">
        <v>22.1</v>
      </c>
      <c r="G1510" s="308">
        <f t="shared" si="225"/>
        <v>12.77819818</v>
      </c>
      <c r="H1510" s="294">
        <v>128.6</v>
      </c>
      <c r="I1510" s="297"/>
      <c r="J1510" s="297"/>
      <c r="K1510" s="294">
        <f t="shared" si="220"/>
        <v>1.9695999999999998</v>
      </c>
      <c r="L1510" s="294">
        <f t="shared" si="221"/>
        <v>0.70497978087041202</v>
      </c>
      <c r="M1510" s="309">
        <f t="shared" si="226"/>
        <v>5.285092342629957</v>
      </c>
      <c r="N1510" s="294">
        <v>0</v>
      </c>
      <c r="O1510" s="294" t="str">
        <f t="shared" si="222"/>
        <v/>
      </c>
      <c r="P1510" s="294"/>
    </row>
    <row r="1511" spans="1:16">
      <c r="A1511" s="294"/>
      <c r="B1511" s="294" t="s">
        <v>406</v>
      </c>
      <c r="C1511" s="294" t="s">
        <v>618</v>
      </c>
      <c r="D1511" s="295" t="s">
        <v>1067</v>
      </c>
      <c r="E1511" s="296">
        <v>10</v>
      </c>
      <c r="F1511" s="294">
        <v>17.899999999999999</v>
      </c>
      <c r="G1511" s="308">
        <f t="shared" si="225"/>
        <v>13.518703500000001</v>
      </c>
      <c r="H1511" s="294">
        <v>211</v>
      </c>
      <c r="I1511" s="297"/>
      <c r="J1511" s="297"/>
      <c r="K1511" s="294">
        <f t="shared" si="220"/>
        <v>2.0704000000000002</v>
      </c>
      <c r="L1511" s="294">
        <f t="shared" si="221"/>
        <v>0.6557882102782896</v>
      </c>
      <c r="M1511" s="309">
        <f t="shared" si="226"/>
        <v>5.0353728051376345</v>
      </c>
      <c r="N1511" s="294">
        <v>0</v>
      </c>
      <c r="O1511" s="294" t="str">
        <f t="shared" si="222"/>
        <v/>
      </c>
      <c r="P1511" s="294"/>
    </row>
    <row r="1512" spans="1:16">
      <c r="A1512" s="294"/>
      <c r="B1512" s="294" t="s">
        <v>406</v>
      </c>
      <c r="C1512" s="294" t="s">
        <v>618</v>
      </c>
      <c r="D1512" s="295" t="s">
        <v>1067</v>
      </c>
      <c r="E1512" s="296">
        <v>11</v>
      </c>
      <c r="F1512" s="294">
        <v>15.4</v>
      </c>
      <c r="G1512" s="308">
        <f t="shared" si="225"/>
        <v>6.4582695000000001</v>
      </c>
      <c r="H1512" s="294">
        <v>85</v>
      </c>
      <c r="I1512" s="297"/>
      <c r="J1512" s="297"/>
      <c r="K1512" s="294">
        <f t="shared" si="220"/>
        <v>2.1303999999999998</v>
      </c>
      <c r="L1512" s="294">
        <f t="shared" si="221"/>
        <v>0.62410798525255673</v>
      </c>
      <c r="M1512" s="309">
        <f t="shared" si="226"/>
        <v>2.989528199576962</v>
      </c>
      <c r="N1512" s="294">
        <v>0</v>
      </c>
      <c r="O1512" s="294" t="str">
        <f t="shared" si="222"/>
        <v/>
      </c>
      <c r="P1512" s="294"/>
    </row>
    <row r="1513" spans="1:16">
      <c r="A1513" s="294"/>
      <c r="B1513" s="294" t="s">
        <v>406</v>
      </c>
      <c r="C1513" s="294" t="s">
        <v>618</v>
      </c>
      <c r="D1513" s="295" t="s">
        <v>1067</v>
      </c>
      <c r="E1513" s="296">
        <v>12</v>
      </c>
      <c r="F1513" s="294">
        <v>10</v>
      </c>
      <c r="G1513" s="308">
        <f t="shared" si="225"/>
        <v>4.9400470699999994</v>
      </c>
      <c r="H1513" s="294">
        <v>79.900000000000006</v>
      </c>
      <c r="I1513" s="297"/>
      <c r="J1513" s="297"/>
      <c r="K1513" s="294">
        <f t="shared" si="220"/>
        <v>2.2599999999999998</v>
      </c>
      <c r="L1513" s="294">
        <f t="shared" si="221"/>
        <v>0.55088251592251125</v>
      </c>
      <c r="M1513" s="309">
        <f t="shared" si="226"/>
        <v>2.4007548841791282</v>
      </c>
      <c r="N1513" s="294">
        <v>0</v>
      </c>
      <c r="O1513" s="294" t="str">
        <f t="shared" si="222"/>
        <v/>
      </c>
      <c r="P1513" s="294"/>
    </row>
    <row r="1514" spans="1:16">
      <c r="A1514" s="294">
        <v>127</v>
      </c>
      <c r="B1514" s="294" t="s">
        <v>406</v>
      </c>
      <c r="C1514" s="294" t="s">
        <v>619</v>
      </c>
      <c r="D1514" s="295" t="s">
        <v>1067</v>
      </c>
      <c r="E1514" s="296">
        <v>1</v>
      </c>
      <c r="F1514" s="294">
        <v>3</v>
      </c>
      <c r="G1514" s="308">
        <f t="shared" si="225"/>
        <v>6.5516067999999992</v>
      </c>
      <c r="H1514" s="294">
        <v>100</v>
      </c>
      <c r="I1514" s="306">
        <v>0.65700000000000003</v>
      </c>
      <c r="J1514" s="307">
        <v>0.54</v>
      </c>
      <c r="K1514" s="294">
        <f t="shared" si="220"/>
        <v>2.4279999999999999</v>
      </c>
      <c r="L1514" s="294">
        <f t="shared" si="221"/>
        <v>0.45086152981994149</v>
      </c>
      <c r="M1514" s="309">
        <f>$I$1514*L1514*(G1514/K1514)+$J$1514</f>
        <v>1.3392960973063275</v>
      </c>
      <c r="N1514" s="294">
        <v>0</v>
      </c>
      <c r="O1514" s="294" t="str">
        <f t="shared" si="222"/>
        <v/>
      </c>
      <c r="P1514" s="294">
        <f>AVERAGE(O1514:O1525)</f>
        <v>3.9103889630355413</v>
      </c>
    </row>
    <row r="1515" spans="1:16">
      <c r="A1515" s="294"/>
      <c r="B1515" s="294" t="s">
        <v>406</v>
      </c>
      <c r="C1515" s="294" t="s">
        <v>619</v>
      </c>
      <c r="D1515" s="295" t="s">
        <v>1067</v>
      </c>
      <c r="E1515" s="296">
        <v>2</v>
      </c>
      <c r="F1515" s="294">
        <v>2.7</v>
      </c>
      <c r="G1515" s="308">
        <f t="shared" si="225"/>
        <v>8.0796693199999989</v>
      </c>
      <c r="H1515" s="294">
        <v>80.400000000000006</v>
      </c>
      <c r="I1515" s="297"/>
      <c r="J1515" s="297"/>
      <c r="K1515" s="294">
        <f t="shared" si="220"/>
        <v>2.4352</v>
      </c>
      <c r="L1515" s="294">
        <f t="shared" si="221"/>
        <v>0.44656164014408606</v>
      </c>
      <c r="M1515" s="309">
        <f t="shared" ref="M1515:M1525" si="227">$I$1514*L1515*(G1515/K1515)+$J$1514</f>
        <v>1.5134322609511381</v>
      </c>
      <c r="N1515" s="294">
        <v>0</v>
      </c>
      <c r="O1515" s="294" t="str">
        <f t="shared" si="222"/>
        <v/>
      </c>
      <c r="P1515" s="294"/>
    </row>
    <row r="1516" spans="1:16">
      <c r="A1516" s="294"/>
      <c r="B1516" s="294" t="s">
        <v>406</v>
      </c>
      <c r="C1516" s="294" t="s">
        <v>619</v>
      </c>
      <c r="D1516" s="295" t="s">
        <v>1067</v>
      </c>
      <c r="E1516" s="296">
        <v>3</v>
      </c>
      <c r="F1516" s="294">
        <v>6.9</v>
      </c>
      <c r="G1516" s="308">
        <f t="shared" si="225"/>
        <v>13.01240267</v>
      </c>
      <c r="H1516" s="294">
        <v>152.9</v>
      </c>
      <c r="I1516" s="297"/>
      <c r="J1516" s="297"/>
      <c r="K1516" s="294">
        <f t="shared" si="220"/>
        <v>2.3344</v>
      </c>
      <c r="L1516" s="294">
        <f t="shared" si="221"/>
        <v>0.50688071678429469</v>
      </c>
      <c r="M1516" s="309">
        <f t="shared" si="227"/>
        <v>2.3963222014407322</v>
      </c>
      <c r="N1516" s="294">
        <v>0</v>
      </c>
      <c r="O1516" s="294" t="str">
        <f t="shared" si="222"/>
        <v/>
      </c>
      <c r="P1516" s="294"/>
    </row>
    <row r="1517" spans="1:16">
      <c r="A1517" s="294"/>
      <c r="B1517" s="294" t="s">
        <v>406</v>
      </c>
      <c r="C1517" s="294" t="s">
        <v>619</v>
      </c>
      <c r="D1517" s="295" t="s">
        <v>1067</v>
      </c>
      <c r="E1517" s="296">
        <v>4</v>
      </c>
      <c r="F1517" s="294">
        <v>13</v>
      </c>
      <c r="G1517" s="308">
        <f t="shared" si="225"/>
        <v>13.67303029</v>
      </c>
      <c r="H1517" s="294">
        <v>125.3</v>
      </c>
      <c r="I1517" s="297"/>
      <c r="J1517" s="297"/>
      <c r="K1517" s="294">
        <f t="shared" si="220"/>
        <v>2.1880000000000002</v>
      </c>
      <c r="L1517" s="294">
        <f t="shared" si="221"/>
        <v>0.59226272182177631</v>
      </c>
      <c r="M1517" s="309">
        <f t="shared" si="227"/>
        <v>2.9716285058342287</v>
      </c>
      <c r="N1517" s="294">
        <v>0</v>
      </c>
      <c r="O1517" s="294" t="str">
        <f t="shared" si="222"/>
        <v/>
      </c>
      <c r="P1517" s="294"/>
    </row>
    <row r="1518" spans="1:16">
      <c r="A1518" s="294"/>
      <c r="B1518" s="294" t="s">
        <v>406</v>
      </c>
      <c r="C1518" s="294" t="s">
        <v>619</v>
      </c>
      <c r="D1518" s="295" t="s">
        <v>1067</v>
      </c>
      <c r="E1518" s="296">
        <v>5</v>
      </c>
      <c r="F1518" s="294">
        <v>16.3</v>
      </c>
      <c r="G1518" s="308">
        <f t="shared" si="225"/>
        <v>17.091695099999999</v>
      </c>
      <c r="H1518" s="294">
        <v>161</v>
      </c>
      <c r="I1518" s="297"/>
      <c r="J1518" s="297"/>
      <c r="K1518" s="294">
        <f t="shared" si="220"/>
        <v>2.1088</v>
      </c>
      <c r="L1518" s="294">
        <f t="shared" si="221"/>
        <v>0.63570126432395468</v>
      </c>
      <c r="M1518" s="309">
        <f t="shared" si="227"/>
        <v>3.9250741678787788</v>
      </c>
      <c r="N1518" s="294">
        <v>0</v>
      </c>
      <c r="O1518" s="294" t="str">
        <f t="shared" si="222"/>
        <v/>
      </c>
      <c r="P1518" s="294"/>
    </row>
    <row r="1519" spans="1:16">
      <c r="A1519" s="294"/>
      <c r="B1519" s="294" t="s">
        <v>406</v>
      </c>
      <c r="C1519" s="294" t="s">
        <v>619</v>
      </c>
      <c r="D1519" s="295" t="s">
        <v>1067</v>
      </c>
      <c r="E1519" s="296">
        <v>6</v>
      </c>
      <c r="F1519" s="294">
        <v>18.399999999999999</v>
      </c>
      <c r="G1519" s="308">
        <f t="shared" si="225"/>
        <v>13.074106370000001</v>
      </c>
      <c r="H1519" s="294">
        <v>70.900000000000006</v>
      </c>
      <c r="I1519" s="297"/>
      <c r="J1519" s="297"/>
      <c r="K1519" s="294">
        <f t="shared" si="220"/>
        <v>2.0583999999999998</v>
      </c>
      <c r="L1519" s="294">
        <f t="shared" si="221"/>
        <v>0.66192047983258717</v>
      </c>
      <c r="M1519" s="309">
        <f t="shared" si="227"/>
        <v>3.3021892375198867</v>
      </c>
      <c r="N1519" s="294">
        <v>0</v>
      </c>
      <c r="O1519" s="294" t="str">
        <f t="shared" si="222"/>
        <v/>
      </c>
      <c r="P1519" s="294"/>
    </row>
    <row r="1520" spans="1:16">
      <c r="A1520" s="294"/>
      <c r="B1520" s="294" t="s">
        <v>406</v>
      </c>
      <c r="C1520" s="294" t="s">
        <v>619</v>
      </c>
      <c r="D1520" s="295" t="s">
        <v>1067</v>
      </c>
      <c r="E1520" s="296">
        <v>7</v>
      </c>
      <c r="F1520" s="294">
        <v>21.6</v>
      </c>
      <c r="G1520" s="308">
        <f t="shared" si="225"/>
        <v>13.82956759</v>
      </c>
      <c r="H1520" s="294">
        <v>96.3</v>
      </c>
      <c r="I1520" s="297"/>
      <c r="J1520" s="297"/>
      <c r="K1520" s="294">
        <f t="shared" si="220"/>
        <v>1.9815999999999998</v>
      </c>
      <c r="L1520" s="294">
        <f t="shared" si="221"/>
        <v>0.69940915925890268</v>
      </c>
      <c r="M1520" s="309">
        <f t="shared" si="227"/>
        <v>3.7469286134238486</v>
      </c>
      <c r="N1520" s="294">
        <v>1</v>
      </c>
      <c r="O1520" s="294">
        <f t="shared" si="222"/>
        <v>3.7469286134238486</v>
      </c>
      <c r="P1520" s="294"/>
    </row>
    <row r="1521" spans="1:16">
      <c r="A1521" s="294"/>
      <c r="B1521" s="294" t="s">
        <v>406</v>
      </c>
      <c r="C1521" s="294" t="s">
        <v>619</v>
      </c>
      <c r="D1521" s="295" t="s">
        <v>1067</v>
      </c>
      <c r="E1521" s="296">
        <v>8</v>
      </c>
      <c r="F1521" s="294">
        <v>22.3</v>
      </c>
      <c r="G1521" s="308">
        <f t="shared" si="225"/>
        <v>14.94402532</v>
      </c>
      <c r="H1521" s="294">
        <v>137.4</v>
      </c>
      <c r="I1521" s="297"/>
      <c r="J1521" s="297"/>
      <c r="K1521" s="294">
        <f t="shared" si="220"/>
        <v>1.9647999999999999</v>
      </c>
      <c r="L1521" s="294">
        <f t="shared" si="221"/>
        <v>0.70718560508058281</v>
      </c>
      <c r="M1521" s="309">
        <f t="shared" si="227"/>
        <v>4.0738493126472335</v>
      </c>
      <c r="N1521" s="294">
        <v>1</v>
      </c>
      <c r="O1521" s="294">
        <f t="shared" si="222"/>
        <v>4.0738493126472335</v>
      </c>
      <c r="P1521" s="294"/>
    </row>
    <row r="1522" spans="1:16">
      <c r="A1522" s="294"/>
      <c r="B1522" s="294" t="s">
        <v>406</v>
      </c>
      <c r="C1522" s="294" t="s">
        <v>619</v>
      </c>
      <c r="D1522" s="295" t="s">
        <v>1067</v>
      </c>
      <c r="E1522" s="296">
        <v>9</v>
      </c>
      <c r="F1522" s="294">
        <v>18.899999999999999</v>
      </c>
      <c r="G1522" s="308">
        <f t="shared" si="225"/>
        <v>11.91788341</v>
      </c>
      <c r="H1522" s="294">
        <v>109.7</v>
      </c>
      <c r="I1522" s="297"/>
      <c r="J1522" s="297"/>
      <c r="K1522" s="294">
        <f t="shared" si="220"/>
        <v>2.0464000000000002</v>
      </c>
      <c r="L1522" s="294">
        <f t="shared" si="221"/>
        <v>0.66798094574788913</v>
      </c>
      <c r="M1522" s="309">
        <f t="shared" si="227"/>
        <v>3.0958658149491027</v>
      </c>
      <c r="N1522" s="294">
        <v>0</v>
      </c>
      <c r="O1522" s="294" t="str">
        <f t="shared" si="222"/>
        <v/>
      </c>
      <c r="P1522" s="294"/>
    </row>
    <row r="1523" spans="1:16">
      <c r="A1523" s="294"/>
      <c r="B1523" s="294" t="s">
        <v>406</v>
      </c>
      <c r="C1523" s="294" t="s">
        <v>619</v>
      </c>
      <c r="D1523" s="295" t="s">
        <v>1067</v>
      </c>
      <c r="E1523" s="296">
        <v>10</v>
      </c>
      <c r="F1523" s="294">
        <v>14.3</v>
      </c>
      <c r="G1523" s="308">
        <f t="shared" si="225"/>
        <v>12.644732940000001</v>
      </c>
      <c r="H1523" s="294">
        <v>191.8</v>
      </c>
      <c r="I1523" s="297"/>
      <c r="J1523" s="297"/>
      <c r="K1523" s="294">
        <f t="shared" si="220"/>
        <v>2.1568000000000001</v>
      </c>
      <c r="L1523" s="294">
        <f t="shared" si="221"/>
        <v>0.60967164273634389</v>
      </c>
      <c r="M1523" s="309">
        <f t="shared" si="227"/>
        <v>2.8883409509432258</v>
      </c>
      <c r="N1523" s="294">
        <v>0</v>
      </c>
      <c r="O1523" s="294" t="str">
        <f t="shared" si="222"/>
        <v/>
      </c>
      <c r="P1523" s="294"/>
    </row>
    <row r="1524" spans="1:16">
      <c r="A1524" s="294"/>
      <c r="B1524" s="294" t="s">
        <v>406</v>
      </c>
      <c r="C1524" s="294" t="s">
        <v>619</v>
      </c>
      <c r="D1524" s="295" t="s">
        <v>1067</v>
      </c>
      <c r="E1524" s="296">
        <v>11</v>
      </c>
      <c r="F1524" s="294">
        <v>12</v>
      </c>
      <c r="G1524" s="308">
        <f t="shared" si="225"/>
        <v>6.2625365100000003</v>
      </c>
      <c r="H1524" s="294">
        <v>80.7</v>
      </c>
      <c r="I1524" s="297"/>
      <c r="J1524" s="297"/>
      <c r="K1524" s="294">
        <f t="shared" si="220"/>
        <v>2.2119999999999997</v>
      </c>
      <c r="L1524" s="294">
        <f t="shared" si="221"/>
        <v>0.57864007305957188</v>
      </c>
      <c r="M1524" s="309">
        <f t="shared" si="227"/>
        <v>1.616314087468719</v>
      </c>
      <c r="N1524" s="294">
        <v>0</v>
      </c>
      <c r="O1524" s="294" t="str">
        <f t="shared" si="222"/>
        <v/>
      </c>
      <c r="P1524" s="294"/>
    </row>
    <row r="1525" spans="1:16">
      <c r="A1525" s="294"/>
      <c r="B1525" s="294" t="s">
        <v>406</v>
      </c>
      <c r="C1525" s="294" t="s">
        <v>619</v>
      </c>
      <c r="D1525" s="295" t="s">
        <v>1067</v>
      </c>
      <c r="E1525" s="296">
        <v>12</v>
      </c>
      <c r="F1525" s="294">
        <v>6.1</v>
      </c>
      <c r="G1525" s="308">
        <f t="shared" si="225"/>
        <v>5.6956674499999993</v>
      </c>
      <c r="H1525" s="294">
        <v>96.5</v>
      </c>
      <c r="I1525" s="297"/>
      <c r="J1525" s="297"/>
      <c r="K1525" s="294">
        <f t="shared" si="220"/>
        <v>2.3536000000000001</v>
      </c>
      <c r="L1525" s="294">
        <f t="shared" si="221"/>
        <v>0.49540811078051672</v>
      </c>
      <c r="M1525" s="309">
        <f t="shared" si="227"/>
        <v>1.3276630107632346</v>
      </c>
      <c r="N1525" s="294">
        <v>0</v>
      </c>
      <c r="O1525" s="294" t="str">
        <f t="shared" si="222"/>
        <v/>
      </c>
      <c r="P1525" s="294"/>
    </row>
    <row r="1526" spans="1:16">
      <c r="A1526" s="294">
        <v>128</v>
      </c>
      <c r="B1526" s="294" t="s">
        <v>406</v>
      </c>
      <c r="C1526" s="294" t="s">
        <v>620</v>
      </c>
      <c r="D1526" s="295" t="s">
        <v>1067</v>
      </c>
      <c r="E1526" s="296">
        <v>1</v>
      </c>
      <c r="F1526" s="294">
        <v>8.3000000000000007</v>
      </c>
      <c r="G1526" s="308">
        <f t="shared" si="225"/>
        <v>6.5379510100000013</v>
      </c>
      <c r="H1526" s="294">
        <v>99.7</v>
      </c>
      <c r="I1526" s="306">
        <v>0.71399999999999997</v>
      </c>
      <c r="J1526" s="307">
        <v>1.61</v>
      </c>
      <c r="K1526" s="294">
        <f t="shared" si="220"/>
        <v>2.3008000000000002</v>
      </c>
      <c r="L1526" s="294">
        <f t="shared" si="221"/>
        <v>0.52686406241145922</v>
      </c>
      <c r="M1526" s="309">
        <f>$I$1526*L1526*(G1526/K1526)+$J$1526</f>
        <v>2.6789553895552212</v>
      </c>
      <c r="N1526" s="294">
        <v>0</v>
      </c>
      <c r="O1526" s="294" t="str">
        <f t="shared" si="222"/>
        <v/>
      </c>
      <c r="P1526" s="294">
        <f>AVERAGE(O1526:O1537)</f>
        <v>6.1954256379577473</v>
      </c>
    </row>
    <row r="1527" spans="1:16">
      <c r="A1527" s="294"/>
      <c r="B1527" s="294" t="s">
        <v>406</v>
      </c>
      <c r="C1527" s="294" t="s">
        <v>620</v>
      </c>
      <c r="D1527" s="295" t="s">
        <v>1067</v>
      </c>
      <c r="E1527" s="296">
        <v>2</v>
      </c>
      <c r="F1527" s="294">
        <v>7.8</v>
      </c>
      <c r="G1527" s="308">
        <f t="shared" si="225"/>
        <v>8.2344349399999999</v>
      </c>
      <c r="H1527" s="294">
        <v>83.8</v>
      </c>
      <c r="I1527" s="297"/>
      <c r="J1527" s="297"/>
      <c r="K1527" s="294">
        <f t="shared" si="220"/>
        <v>2.3128000000000002</v>
      </c>
      <c r="L1527" s="294">
        <f t="shared" si="221"/>
        <v>0.51974411192253844</v>
      </c>
      <c r="M1527" s="309">
        <f t="shared" ref="M1527:M1537" si="228">$I$1526*L1527*(G1527/K1527)+$J$1526</f>
        <v>2.9312454771718235</v>
      </c>
      <c r="N1527" s="294">
        <v>0</v>
      </c>
      <c r="O1527" s="294" t="str">
        <f t="shared" si="222"/>
        <v/>
      </c>
      <c r="P1527" s="294"/>
    </row>
    <row r="1528" spans="1:16">
      <c r="A1528" s="294"/>
      <c r="B1528" s="294" t="s">
        <v>406</v>
      </c>
      <c r="C1528" s="294" t="s">
        <v>620</v>
      </c>
      <c r="D1528" s="295" t="s">
        <v>1067</v>
      </c>
      <c r="E1528" s="296">
        <v>3</v>
      </c>
      <c r="F1528" s="294">
        <v>10.7</v>
      </c>
      <c r="G1528" s="308">
        <f t="shared" si="225"/>
        <v>14.100313939999999</v>
      </c>
      <c r="H1528" s="294">
        <v>176.8</v>
      </c>
      <c r="I1528" s="297"/>
      <c r="J1528" s="297"/>
      <c r="K1528" s="294">
        <f t="shared" si="220"/>
        <v>2.2431999999999999</v>
      </c>
      <c r="L1528" s="294">
        <f t="shared" si="221"/>
        <v>0.56066760907995394</v>
      </c>
      <c r="M1528" s="309">
        <f t="shared" si="228"/>
        <v>4.1263118594275197</v>
      </c>
      <c r="N1528" s="294">
        <v>0</v>
      </c>
      <c r="O1528" s="294" t="str">
        <f t="shared" si="222"/>
        <v/>
      </c>
      <c r="P1528" s="294"/>
    </row>
    <row r="1529" spans="1:16">
      <c r="A1529" s="294"/>
      <c r="B1529" s="294" t="s">
        <v>406</v>
      </c>
      <c r="C1529" s="294" t="s">
        <v>620</v>
      </c>
      <c r="D1529" s="295" t="s">
        <v>1067</v>
      </c>
      <c r="E1529" s="296">
        <v>4</v>
      </c>
      <c r="F1529" s="294">
        <v>15.4</v>
      </c>
      <c r="G1529" s="308">
        <f t="shared" si="225"/>
        <v>14.642591379999999</v>
      </c>
      <c r="H1529" s="294">
        <v>146.6</v>
      </c>
      <c r="I1529" s="297"/>
      <c r="J1529" s="297"/>
      <c r="K1529" s="294">
        <f t="shared" si="220"/>
        <v>2.1303999999999998</v>
      </c>
      <c r="L1529" s="294">
        <f t="shared" si="221"/>
        <v>0.62410798525255673</v>
      </c>
      <c r="M1529" s="309">
        <f t="shared" si="228"/>
        <v>4.6727725114553387</v>
      </c>
      <c r="N1529" s="294">
        <v>0</v>
      </c>
      <c r="O1529" s="294" t="str">
        <f t="shared" si="222"/>
        <v/>
      </c>
      <c r="P1529" s="294"/>
    </row>
    <row r="1530" spans="1:16">
      <c r="A1530" s="294"/>
      <c r="B1530" s="294" t="s">
        <v>406</v>
      </c>
      <c r="C1530" s="294" t="s">
        <v>620</v>
      </c>
      <c r="D1530" s="295" t="s">
        <v>1067</v>
      </c>
      <c r="E1530" s="296">
        <v>5</v>
      </c>
      <c r="F1530" s="294">
        <v>19</v>
      </c>
      <c r="G1530" s="308">
        <f t="shared" ref="G1530:G1537" si="229">$T$11+$T$12*H1530+INDEX($T$13:$T$24,MATCH(E1530,$S$13:$S$24,0),1)</f>
        <v>19.504218000000002</v>
      </c>
      <c r="H1530" s="294">
        <v>214</v>
      </c>
      <c r="I1530" s="297"/>
      <c r="J1530" s="297"/>
      <c r="K1530" s="294">
        <f t="shared" si="220"/>
        <v>2.044</v>
      </c>
      <c r="L1530" s="294">
        <f t="shared" si="221"/>
        <v>0.66918429216402076</v>
      </c>
      <c r="M1530" s="309">
        <f t="shared" si="228"/>
        <v>6.1692310420800034</v>
      </c>
      <c r="N1530" s="294">
        <v>0</v>
      </c>
      <c r="O1530" s="294" t="str">
        <f t="shared" si="222"/>
        <v/>
      </c>
      <c r="P1530" s="294"/>
    </row>
    <row r="1531" spans="1:16">
      <c r="A1531" s="294"/>
      <c r="B1531" s="294" t="s">
        <v>406</v>
      </c>
      <c r="C1531" s="294" t="s">
        <v>620</v>
      </c>
      <c r="D1531" s="295" t="s">
        <v>1067</v>
      </c>
      <c r="E1531" s="296">
        <v>6</v>
      </c>
      <c r="F1531" s="294">
        <v>21</v>
      </c>
      <c r="G1531" s="308">
        <f t="shared" si="229"/>
        <v>14.1711215</v>
      </c>
      <c r="H1531" s="294">
        <v>95</v>
      </c>
      <c r="I1531" s="297"/>
      <c r="J1531" s="297"/>
      <c r="K1531" s="294">
        <f t="shared" si="220"/>
        <v>1.996</v>
      </c>
      <c r="L1531" s="294">
        <f t="shared" si="221"/>
        <v>0.69261966250512974</v>
      </c>
      <c r="M1531" s="309">
        <f t="shared" si="228"/>
        <v>5.1210475635889381</v>
      </c>
      <c r="N1531" s="294">
        <v>0</v>
      </c>
      <c r="O1531" s="294" t="str">
        <f t="shared" si="222"/>
        <v/>
      </c>
      <c r="P1531" s="294"/>
    </row>
    <row r="1532" spans="1:16">
      <c r="A1532" s="294"/>
      <c r="B1532" s="294" t="s">
        <v>406</v>
      </c>
      <c r="C1532" s="294" t="s">
        <v>620</v>
      </c>
      <c r="D1532" s="295" t="s">
        <v>1067</v>
      </c>
      <c r="E1532" s="296">
        <v>7</v>
      </c>
      <c r="F1532" s="294">
        <v>24.7</v>
      </c>
      <c r="G1532" s="308">
        <f t="shared" si="229"/>
        <v>15.058588689999999</v>
      </c>
      <c r="H1532" s="294">
        <v>123.3</v>
      </c>
      <c r="I1532" s="297"/>
      <c r="J1532" s="297"/>
      <c r="K1532" s="294">
        <f t="shared" si="220"/>
        <v>1.9072</v>
      </c>
      <c r="L1532" s="294">
        <f t="shared" si="221"/>
        <v>0.73263879001027088</v>
      </c>
      <c r="M1532" s="309">
        <f t="shared" si="228"/>
        <v>5.740248230249696</v>
      </c>
      <c r="N1532" s="294">
        <v>1</v>
      </c>
      <c r="O1532" s="294">
        <f t="shared" si="222"/>
        <v>5.740248230249696</v>
      </c>
      <c r="P1532" s="294"/>
    </row>
    <row r="1533" spans="1:16">
      <c r="A1533" s="294"/>
      <c r="B1533" s="294" t="s">
        <v>406</v>
      </c>
      <c r="C1533" s="294" t="s">
        <v>620</v>
      </c>
      <c r="D1533" s="295" t="s">
        <v>1067</v>
      </c>
      <c r="E1533" s="296">
        <v>8</v>
      </c>
      <c r="F1533" s="294">
        <v>26.1</v>
      </c>
      <c r="G1533" s="308">
        <f t="shared" si="229"/>
        <v>17.716150690000003</v>
      </c>
      <c r="H1533" s="294">
        <v>198.3</v>
      </c>
      <c r="I1533" s="297"/>
      <c r="J1533" s="297"/>
      <c r="K1533" s="294">
        <f t="shared" si="220"/>
        <v>1.8735999999999999</v>
      </c>
      <c r="L1533" s="294">
        <f t="shared" si="221"/>
        <v>0.74660655364901107</v>
      </c>
      <c r="M1533" s="309">
        <f t="shared" si="228"/>
        <v>6.6506030456657985</v>
      </c>
      <c r="N1533" s="294">
        <v>1</v>
      </c>
      <c r="O1533" s="294">
        <f t="shared" si="222"/>
        <v>6.6506030456657985</v>
      </c>
      <c r="P1533" s="294"/>
    </row>
    <row r="1534" spans="1:16">
      <c r="A1534" s="294"/>
      <c r="B1534" s="294" t="s">
        <v>406</v>
      </c>
      <c r="C1534" s="294" t="s">
        <v>620</v>
      </c>
      <c r="D1534" s="295" t="s">
        <v>1067</v>
      </c>
      <c r="E1534" s="296">
        <v>9</v>
      </c>
      <c r="F1534" s="294">
        <v>22.8</v>
      </c>
      <c r="G1534" s="308">
        <f t="shared" si="229"/>
        <v>14.12101753</v>
      </c>
      <c r="H1534" s="294">
        <v>158.1</v>
      </c>
      <c r="I1534" s="297"/>
      <c r="J1534" s="297"/>
      <c r="K1534" s="294">
        <f t="shared" si="220"/>
        <v>1.9527999999999999</v>
      </c>
      <c r="L1534" s="294">
        <f t="shared" si="221"/>
        <v>0.71264368087977559</v>
      </c>
      <c r="M1534" s="309">
        <f t="shared" si="228"/>
        <v>5.2894158602968995</v>
      </c>
      <c r="N1534" s="294">
        <v>0</v>
      </c>
      <c r="O1534" s="294" t="str">
        <f t="shared" si="222"/>
        <v/>
      </c>
      <c r="P1534" s="294"/>
    </row>
    <row r="1535" spans="1:16">
      <c r="A1535" s="294"/>
      <c r="B1535" s="294" t="s">
        <v>406</v>
      </c>
      <c r="C1535" s="294" t="s">
        <v>620</v>
      </c>
      <c r="D1535" s="295" t="s">
        <v>1067</v>
      </c>
      <c r="E1535" s="296">
        <v>10</v>
      </c>
      <c r="F1535" s="294">
        <v>18.600000000000001</v>
      </c>
      <c r="G1535" s="308">
        <f t="shared" si="229"/>
        <v>14.133214049999999</v>
      </c>
      <c r="H1535" s="294">
        <v>224.5</v>
      </c>
      <c r="I1535" s="297"/>
      <c r="J1535" s="297"/>
      <c r="K1535" s="294">
        <f t="shared" si="220"/>
        <v>2.0535999999999999</v>
      </c>
      <c r="L1535" s="294">
        <f t="shared" si="221"/>
        <v>0.66435336670543088</v>
      </c>
      <c r="M1535" s="309">
        <f t="shared" si="228"/>
        <v>4.8745432957981123</v>
      </c>
      <c r="N1535" s="294">
        <v>0</v>
      </c>
      <c r="O1535" s="294" t="str">
        <f t="shared" si="222"/>
        <v/>
      </c>
      <c r="P1535" s="294"/>
    </row>
    <row r="1536" spans="1:16">
      <c r="A1536" s="294"/>
      <c r="B1536" s="294" t="s">
        <v>406</v>
      </c>
      <c r="C1536" s="294" t="s">
        <v>620</v>
      </c>
      <c r="D1536" s="295" t="s">
        <v>1067</v>
      </c>
      <c r="E1536" s="296">
        <v>11</v>
      </c>
      <c r="F1536" s="294">
        <v>16.2</v>
      </c>
      <c r="G1536" s="308">
        <f t="shared" si="229"/>
        <v>6.8907028500000003</v>
      </c>
      <c r="H1536" s="294">
        <v>94.5</v>
      </c>
      <c r="I1536" s="297"/>
      <c r="J1536" s="297"/>
      <c r="K1536" s="294">
        <f t="shared" si="220"/>
        <v>2.1112000000000002</v>
      </c>
      <c r="L1536" s="294">
        <f t="shared" si="221"/>
        <v>0.63442324399527317</v>
      </c>
      <c r="M1536" s="309">
        <f t="shared" si="228"/>
        <v>3.0884663450313541</v>
      </c>
      <c r="N1536" s="294">
        <v>0</v>
      </c>
      <c r="O1536" s="294" t="str">
        <f t="shared" si="222"/>
        <v/>
      </c>
      <c r="P1536" s="294"/>
    </row>
    <row r="1537" spans="1:16">
      <c r="A1537" s="294"/>
      <c r="B1537" s="294" t="s">
        <v>406</v>
      </c>
      <c r="C1537" s="294" t="s">
        <v>620</v>
      </c>
      <c r="D1537" s="295" t="s">
        <v>1067</v>
      </c>
      <c r="E1537" s="296">
        <v>12</v>
      </c>
      <c r="F1537" s="294">
        <v>11.2</v>
      </c>
      <c r="G1537" s="308">
        <f t="shared" si="229"/>
        <v>4.9172874200000001</v>
      </c>
      <c r="H1537" s="294">
        <v>79.400000000000006</v>
      </c>
      <c r="I1537" s="297"/>
      <c r="J1537" s="297"/>
      <c r="K1537" s="294">
        <f t="shared" si="220"/>
        <v>2.2311999999999999</v>
      </c>
      <c r="L1537" s="294">
        <f t="shared" si="221"/>
        <v>0.56761265844301101</v>
      </c>
      <c r="M1537" s="309">
        <f t="shared" si="228"/>
        <v>2.503176682298013</v>
      </c>
      <c r="N1537" s="294">
        <v>0</v>
      </c>
      <c r="O1537" s="294" t="str">
        <f t="shared" si="222"/>
        <v/>
      </c>
      <c r="P1537" s="294"/>
    </row>
    <row r="1538" spans="1:16">
      <c r="A1538" s="294">
        <v>129</v>
      </c>
      <c r="B1538" s="294" t="s">
        <v>621</v>
      </c>
      <c r="C1538" s="294" t="s">
        <v>621</v>
      </c>
      <c r="D1538" s="295" t="s">
        <v>1067</v>
      </c>
      <c r="E1538" s="296">
        <v>1</v>
      </c>
      <c r="F1538" s="294">
        <v>7.2</v>
      </c>
      <c r="G1538" s="294">
        <v>8.1999999999999993</v>
      </c>
      <c r="H1538" s="294"/>
      <c r="I1538" s="294">
        <v>0.754</v>
      </c>
      <c r="J1538" s="294">
        <v>0.66</v>
      </c>
      <c r="K1538" s="294">
        <f t="shared" si="220"/>
        <v>2.3271999999999999</v>
      </c>
      <c r="L1538" s="294">
        <f t="shared" si="221"/>
        <v>0.51117445743276591</v>
      </c>
      <c r="M1538" s="297">
        <f>$I$1538*L1538*(G1538/K1538)+$J$1538</f>
        <v>2.0180652438188833</v>
      </c>
      <c r="N1538" s="294">
        <v>0</v>
      </c>
      <c r="O1538" s="294" t="str">
        <f t="shared" ref="O1538:O1601" si="230">IF(N1538*M1538=0,"",N1538*M1538)</f>
        <v/>
      </c>
      <c r="P1538" s="294">
        <f>AVERAGE(O1538:O1549)</f>
        <v>5.4140722472324008</v>
      </c>
    </row>
    <row r="1539" spans="1:16">
      <c r="A1539" s="294"/>
      <c r="B1539" s="294" t="s">
        <v>621</v>
      </c>
      <c r="C1539" s="294" t="s">
        <v>621</v>
      </c>
      <c r="D1539" s="295" t="s">
        <v>1067</v>
      </c>
      <c r="E1539" s="296">
        <v>2</v>
      </c>
      <c r="F1539" s="294">
        <v>7.1</v>
      </c>
      <c r="G1539" s="294">
        <v>10.6</v>
      </c>
      <c r="H1539" s="294"/>
      <c r="I1539" s="294"/>
      <c r="J1539" s="294"/>
      <c r="K1539" s="294">
        <f t="shared" si="220"/>
        <v>2.3296000000000001</v>
      </c>
      <c r="L1539" s="294">
        <f t="shared" si="221"/>
        <v>0.50974381096902943</v>
      </c>
      <c r="M1539" s="297">
        <f t="shared" ref="M1539:M1549" si="231">$I$1538*L1539*(G1539/K1539)+$J$1538</f>
        <v>2.4088308871861566</v>
      </c>
      <c r="N1539" s="294">
        <v>0</v>
      </c>
      <c r="O1539" s="294" t="str">
        <f t="shared" si="230"/>
        <v/>
      </c>
      <c r="P1539" s="294"/>
    </row>
    <row r="1540" spans="1:16">
      <c r="A1540" s="294"/>
      <c r="B1540" s="294" t="s">
        <v>621</v>
      </c>
      <c r="C1540" s="294" t="s">
        <v>621</v>
      </c>
      <c r="D1540" s="295" t="s">
        <v>1067</v>
      </c>
      <c r="E1540" s="296">
        <v>3</v>
      </c>
      <c r="F1540" s="294">
        <v>10</v>
      </c>
      <c r="G1540" s="294">
        <v>13.6</v>
      </c>
      <c r="H1540" s="294"/>
      <c r="I1540" s="294"/>
      <c r="J1540" s="294"/>
      <c r="K1540" s="294">
        <f t="shared" si="220"/>
        <v>2.2599999999999998</v>
      </c>
      <c r="L1540" s="294">
        <f t="shared" si="221"/>
        <v>0.55088251592251125</v>
      </c>
      <c r="M1540" s="297">
        <f t="shared" si="231"/>
        <v>3.1595441023344248</v>
      </c>
      <c r="N1540" s="294">
        <v>0</v>
      </c>
      <c r="O1540" s="294" t="str">
        <f t="shared" si="230"/>
        <v/>
      </c>
      <c r="P1540" s="294"/>
    </row>
    <row r="1541" spans="1:16">
      <c r="A1541" s="294"/>
      <c r="B1541" s="294" t="s">
        <v>621</v>
      </c>
      <c r="C1541" s="294" t="s">
        <v>621</v>
      </c>
      <c r="D1541" s="295" t="s">
        <v>1067</v>
      </c>
      <c r="E1541" s="296">
        <v>4</v>
      </c>
      <c r="F1541" s="294">
        <v>15.6</v>
      </c>
      <c r="G1541" s="294">
        <v>13.3</v>
      </c>
      <c r="H1541" s="294"/>
      <c r="I1541" s="294"/>
      <c r="J1541" s="294"/>
      <c r="K1541" s="294">
        <f t="shared" si="220"/>
        <v>2.1255999999999999</v>
      </c>
      <c r="L1541" s="294">
        <f t="shared" si="221"/>
        <v>0.62670175707655418</v>
      </c>
      <c r="M1541" s="297">
        <f t="shared" si="231"/>
        <v>3.6166666166329984</v>
      </c>
      <c r="N1541" s="294">
        <v>0</v>
      </c>
      <c r="O1541" s="294" t="str">
        <f t="shared" si="230"/>
        <v/>
      </c>
      <c r="P1541" s="294"/>
    </row>
    <row r="1542" spans="1:16">
      <c r="A1542" s="294"/>
      <c r="B1542" s="294" t="s">
        <v>621</v>
      </c>
      <c r="C1542" s="294" t="s">
        <v>621</v>
      </c>
      <c r="D1542" s="295" t="s">
        <v>1067</v>
      </c>
      <c r="E1542" s="296">
        <v>5</v>
      </c>
      <c r="F1542" s="294">
        <v>20.100000000000001</v>
      </c>
      <c r="G1542" s="294">
        <v>18.3</v>
      </c>
      <c r="H1542" s="294"/>
      <c r="I1542" s="294"/>
      <c r="J1542" s="294"/>
      <c r="K1542" s="294">
        <f t="shared" si="220"/>
        <v>2.0175999999999998</v>
      </c>
      <c r="L1542" s="294">
        <f t="shared" si="221"/>
        <v>0.68222457536345948</v>
      </c>
      <c r="M1542" s="297">
        <f t="shared" si="231"/>
        <v>5.3256776049663399</v>
      </c>
      <c r="N1542" s="294">
        <v>0</v>
      </c>
      <c r="O1542" s="294" t="str">
        <f t="shared" si="230"/>
        <v/>
      </c>
      <c r="P1542" s="294"/>
    </row>
    <row r="1543" spans="1:16">
      <c r="A1543" s="294"/>
      <c r="B1543" s="294" t="s">
        <v>621</v>
      </c>
      <c r="C1543" s="294" t="s">
        <v>621</v>
      </c>
      <c r="D1543" s="295" t="s">
        <v>1067</v>
      </c>
      <c r="E1543" s="296">
        <v>6</v>
      </c>
      <c r="F1543" s="294">
        <v>21.6</v>
      </c>
      <c r="G1543" s="294">
        <v>11.6</v>
      </c>
      <c r="H1543" s="294"/>
      <c r="I1543" s="294"/>
      <c r="J1543" s="294"/>
      <c r="K1543" s="294">
        <f t="shared" si="220"/>
        <v>1.9815999999999998</v>
      </c>
      <c r="L1543" s="294">
        <f t="shared" si="221"/>
        <v>0.69940915925890268</v>
      </c>
      <c r="M1543" s="297">
        <f t="shared" si="231"/>
        <v>3.7470570602251043</v>
      </c>
      <c r="N1543" s="294">
        <v>0</v>
      </c>
      <c r="O1543" s="294" t="str">
        <f t="shared" si="230"/>
        <v/>
      </c>
      <c r="P1543" s="294"/>
    </row>
    <row r="1544" spans="1:16">
      <c r="A1544" s="294"/>
      <c r="B1544" s="294" t="s">
        <v>621</v>
      </c>
      <c r="C1544" s="294" t="s">
        <v>621</v>
      </c>
      <c r="D1544" s="295" t="s">
        <v>1067</v>
      </c>
      <c r="E1544" s="296">
        <v>7</v>
      </c>
      <c r="F1544" s="294">
        <v>25.5</v>
      </c>
      <c r="G1544" s="294">
        <v>14.8</v>
      </c>
      <c r="H1544" s="294"/>
      <c r="I1544" s="294"/>
      <c r="J1544" s="294"/>
      <c r="K1544" s="294">
        <f t="shared" si="220"/>
        <v>1.8879999999999999</v>
      </c>
      <c r="L1544" s="294">
        <f t="shared" si="221"/>
        <v>0.74070040203683252</v>
      </c>
      <c r="M1544" s="297">
        <f t="shared" si="231"/>
        <v>5.0379787745812621</v>
      </c>
      <c r="N1544" s="294">
        <v>1</v>
      </c>
      <c r="O1544" s="294">
        <f t="shared" si="230"/>
        <v>5.0379787745812621</v>
      </c>
      <c r="P1544" s="294"/>
    </row>
    <row r="1545" spans="1:16">
      <c r="A1545" s="294"/>
      <c r="B1545" s="294" t="s">
        <v>621</v>
      </c>
      <c r="C1545" s="294" t="s">
        <v>621</v>
      </c>
      <c r="D1545" s="295" t="s">
        <v>1067</v>
      </c>
      <c r="E1545" s="296">
        <v>8</v>
      </c>
      <c r="F1545" s="294">
        <v>27.2</v>
      </c>
      <c r="G1545" s="294">
        <v>16.600000000000001</v>
      </c>
      <c r="H1545" s="294"/>
      <c r="I1545" s="294"/>
      <c r="J1545" s="294"/>
      <c r="K1545" s="294">
        <f t="shared" si="220"/>
        <v>1.8472</v>
      </c>
      <c r="L1545" s="294">
        <f t="shared" si="221"/>
        <v>0.75712202532428419</v>
      </c>
      <c r="M1545" s="297">
        <f t="shared" si="231"/>
        <v>5.7901657198835386</v>
      </c>
      <c r="N1545" s="294">
        <v>1</v>
      </c>
      <c r="O1545" s="294">
        <f t="shared" si="230"/>
        <v>5.7901657198835386</v>
      </c>
      <c r="P1545" s="294"/>
    </row>
    <row r="1546" spans="1:16">
      <c r="A1546" s="294"/>
      <c r="B1546" s="294" t="s">
        <v>621</v>
      </c>
      <c r="C1546" s="294" t="s">
        <v>621</v>
      </c>
      <c r="D1546" s="295" t="s">
        <v>1067</v>
      </c>
      <c r="E1546" s="296">
        <v>9</v>
      </c>
      <c r="F1546" s="294">
        <v>22.9</v>
      </c>
      <c r="G1546" s="294">
        <v>12.6</v>
      </c>
      <c r="H1546" s="294"/>
      <c r="I1546" s="294"/>
      <c r="J1546" s="294"/>
      <c r="K1546" s="294">
        <f t="shared" si="220"/>
        <v>1.9504000000000001</v>
      </c>
      <c r="L1546" s="294">
        <f t="shared" si="221"/>
        <v>0.71372556847664814</v>
      </c>
      <c r="M1546" s="297">
        <f t="shared" si="231"/>
        <v>4.1365578295506298</v>
      </c>
      <c r="N1546" s="294">
        <v>0</v>
      </c>
      <c r="O1546" s="294" t="str">
        <f t="shared" si="230"/>
        <v/>
      </c>
      <c r="P1546" s="294"/>
    </row>
    <row r="1547" spans="1:16">
      <c r="A1547" s="294"/>
      <c r="B1547" s="294" t="s">
        <v>621</v>
      </c>
      <c r="C1547" s="294" t="s">
        <v>621</v>
      </c>
      <c r="D1547" s="295" t="s">
        <v>1067</v>
      </c>
      <c r="E1547" s="296">
        <v>10</v>
      </c>
      <c r="F1547" s="294">
        <v>18.2</v>
      </c>
      <c r="G1547" s="294">
        <v>14.7</v>
      </c>
      <c r="H1547" s="294"/>
      <c r="I1547" s="294"/>
      <c r="J1547" s="294"/>
      <c r="K1547" s="294">
        <f t="shared" si="220"/>
        <v>2.0632000000000001</v>
      </c>
      <c r="L1547" s="294">
        <f t="shared" si="221"/>
        <v>0.65947610324529615</v>
      </c>
      <c r="M1547" s="297">
        <f t="shared" si="231"/>
        <v>4.2027981936555898</v>
      </c>
      <c r="N1547" s="294">
        <v>0</v>
      </c>
      <c r="O1547" s="294" t="str">
        <f t="shared" si="230"/>
        <v/>
      </c>
      <c r="P1547" s="294"/>
    </row>
    <row r="1548" spans="1:16">
      <c r="A1548" s="294"/>
      <c r="B1548" s="294" t="s">
        <v>621</v>
      </c>
      <c r="C1548" s="294" t="s">
        <v>621</v>
      </c>
      <c r="D1548" s="295" t="s">
        <v>1067</v>
      </c>
      <c r="E1548" s="296">
        <v>11</v>
      </c>
      <c r="F1548" s="294">
        <v>15.8</v>
      </c>
      <c r="G1548" s="294">
        <v>7.2</v>
      </c>
      <c r="H1548" s="294"/>
      <c r="I1548" s="294"/>
      <c r="J1548" s="294"/>
      <c r="K1548" s="294">
        <f t="shared" si="220"/>
        <v>2.1208</v>
      </c>
      <c r="L1548" s="294">
        <f t="shared" si="221"/>
        <v>0.62928564442883417</v>
      </c>
      <c r="M1548" s="297">
        <f t="shared" si="231"/>
        <v>2.2708383187831265</v>
      </c>
      <c r="N1548" s="294">
        <v>0</v>
      </c>
      <c r="O1548" s="294" t="str">
        <f t="shared" si="230"/>
        <v/>
      </c>
      <c r="P1548" s="294"/>
    </row>
    <row r="1549" spans="1:16">
      <c r="A1549" s="294"/>
      <c r="B1549" s="294" t="s">
        <v>621</v>
      </c>
      <c r="C1549" s="294" t="s">
        <v>621</v>
      </c>
      <c r="D1549" s="295" t="s">
        <v>1067</v>
      </c>
      <c r="E1549" s="296">
        <v>12</v>
      </c>
      <c r="F1549" s="294">
        <v>10.4</v>
      </c>
      <c r="G1549" s="294">
        <v>8.3000000000000007</v>
      </c>
      <c r="H1549" s="294"/>
      <c r="I1549" s="294"/>
      <c r="J1549" s="294"/>
      <c r="K1549" s="294">
        <f t="shared" si="220"/>
        <v>2.2504</v>
      </c>
      <c r="L1549" s="294">
        <f t="shared" si="221"/>
        <v>0.55648248816913681</v>
      </c>
      <c r="M1549" s="297">
        <f t="shared" si="231"/>
        <v>2.2075376410682956</v>
      </c>
      <c r="N1549" s="294">
        <v>0</v>
      </c>
      <c r="O1549" s="294" t="str">
        <f t="shared" si="230"/>
        <v/>
      </c>
      <c r="P1549" s="294"/>
    </row>
    <row r="1550" spans="1:16">
      <c r="A1550" s="294">
        <v>130</v>
      </c>
      <c r="B1550" s="294" t="s">
        <v>622</v>
      </c>
      <c r="C1550" s="294" t="s">
        <v>623</v>
      </c>
      <c r="D1550" s="295" t="s">
        <v>1067</v>
      </c>
      <c r="E1550" s="296">
        <v>1</v>
      </c>
      <c r="F1550" s="294">
        <v>5</v>
      </c>
      <c r="G1550" s="308">
        <f t="shared" ref="G1550:G1561" si="232">$T$11+$T$12*H1550+INDEX($T$13:$T$24,MATCH(E1550,$S$13:$S$24,0),1)</f>
        <v>7.5120640300000003</v>
      </c>
      <c r="H1550" s="294">
        <v>121.1</v>
      </c>
      <c r="I1550" s="306">
        <v>0.94</v>
      </c>
      <c r="J1550" s="307">
        <v>0.01</v>
      </c>
      <c r="K1550" s="294">
        <f t="shared" si="220"/>
        <v>2.38</v>
      </c>
      <c r="L1550" s="294">
        <f t="shared" si="221"/>
        <v>0.47959944832182527</v>
      </c>
      <c r="M1550" s="309">
        <f>$I$1550*L1550*(G1550/K1550)+$J$1550</f>
        <v>1.4329474196106948</v>
      </c>
      <c r="N1550" s="294">
        <v>0</v>
      </c>
      <c r="O1550" s="294" t="str">
        <f t="shared" si="230"/>
        <v/>
      </c>
      <c r="P1550" s="294">
        <f>AVERAGE(O1550:O1561)</f>
        <v>6.0506871802068654</v>
      </c>
    </row>
    <row r="1551" spans="1:16">
      <c r="A1551" s="294"/>
      <c r="B1551" s="294" t="s">
        <v>622</v>
      </c>
      <c r="C1551" s="294" t="s">
        <v>623</v>
      </c>
      <c r="D1551" s="295" t="s">
        <v>1067</v>
      </c>
      <c r="E1551" s="296">
        <v>2</v>
      </c>
      <c r="F1551" s="294">
        <v>5.4</v>
      </c>
      <c r="G1551" s="308">
        <f t="shared" si="232"/>
        <v>9.640981309999999</v>
      </c>
      <c r="H1551" s="294">
        <v>114.7</v>
      </c>
      <c r="I1551" s="297"/>
      <c r="J1551" s="297"/>
      <c r="K1551" s="294">
        <f t="shared" si="220"/>
        <v>2.3704000000000001</v>
      </c>
      <c r="L1551" s="294">
        <f t="shared" si="221"/>
        <v>0.48535075735081867</v>
      </c>
      <c r="M1551" s="309">
        <f t="shared" ref="M1551:M1561" si="233">$I$1550*L1551*(G1551/K1551)+$J$1550</f>
        <v>1.865594889296647</v>
      </c>
      <c r="N1551" s="294">
        <v>0</v>
      </c>
      <c r="O1551" s="294" t="str">
        <f t="shared" si="230"/>
        <v/>
      </c>
      <c r="P1551" s="294"/>
    </row>
    <row r="1552" spans="1:16">
      <c r="A1552" s="294"/>
      <c r="B1552" s="294" t="s">
        <v>622</v>
      </c>
      <c r="C1552" s="294" t="s">
        <v>623</v>
      </c>
      <c r="D1552" s="295" t="s">
        <v>1067</v>
      </c>
      <c r="E1552" s="296">
        <v>3</v>
      </c>
      <c r="F1552" s="294">
        <v>9.4</v>
      </c>
      <c r="G1552" s="308">
        <f t="shared" si="232"/>
        <v>14.27783921</v>
      </c>
      <c r="H1552" s="294">
        <v>180.7</v>
      </c>
      <c r="I1552" s="297"/>
      <c r="J1552" s="297"/>
      <c r="K1552" s="294">
        <f t="shared" si="220"/>
        <v>2.2744</v>
      </c>
      <c r="L1552" s="294">
        <f t="shared" si="221"/>
        <v>0.54244317029746025</v>
      </c>
      <c r="M1552" s="309">
        <f t="shared" si="233"/>
        <v>3.2109415160506494</v>
      </c>
      <c r="N1552" s="294">
        <v>0</v>
      </c>
      <c r="O1552" s="294" t="str">
        <f t="shared" si="230"/>
        <v/>
      </c>
      <c r="P1552" s="294"/>
    </row>
    <row r="1553" spans="1:16">
      <c r="A1553" s="294"/>
      <c r="B1553" s="294" t="s">
        <v>622</v>
      </c>
      <c r="C1553" s="294" t="s">
        <v>623</v>
      </c>
      <c r="D1553" s="295" t="s">
        <v>1067</v>
      </c>
      <c r="E1553" s="296">
        <v>4</v>
      </c>
      <c r="F1553" s="294">
        <v>15.9</v>
      </c>
      <c r="G1553" s="308">
        <f t="shared" si="232"/>
        <v>14.42865067</v>
      </c>
      <c r="H1553" s="294">
        <v>141.9</v>
      </c>
      <c r="I1553" s="297"/>
      <c r="J1553" s="297"/>
      <c r="K1553" s="294">
        <f t="shared" si="220"/>
        <v>2.1183999999999998</v>
      </c>
      <c r="L1553" s="294">
        <f t="shared" si="221"/>
        <v>0.63057384037924924</v>
      </c>
      <c r="M1553" s="309">
        <f t="shared" si="233"/>
        <v>4.0472119923546899</v>
      </c>
      <c r="N1553" s="294">
        <v>0</v>
      </c>
      <c r="O1553" s="294" t="str">
        <f t="shared" si="230"/>
        <v/>
      </c>
      <c r="P1553" s="294"/>
    </row>
    <row r="1554" spans="1:16">
      <c r="A1554" s="294"/>
      <c r="B1554" s="294" t="s">
        <v>622</v>
      </c>
      <c r="C1554" s="294" t="s">
        <v>623</v>
      </c>
      <c r="D1554" s="295" t="s">
        <v>1067</v>
      </c>
      <c r="E1554" s="296">
        <v>5</v>
      </c>
      <c r="F1554" s="294">
        <v>20.2</v>
      </c>
      <c r="G1554" s="308">
        <f t="shared" si="232"/>
        <v>19.162823250000002</v>
      </c>
      <c r="H1554" s="294">
        <v>206.5</v>
      </c>
      <c r="I1554" s="297"/>
      <c r="J1554" s="297"/>
      <c r="K1554" s="294">
        <f t="shared" si="220"/>
        <v>2.0152000000000001</v>
      </c>
      <c r="L1554" s="294">
        <f t="shared" si="221"/>
        <v>0.68339192349867006</v>
      </c>
      <c r="M1554" s="309">
        <f t="shared" si="233"/>
        <v>6.1185626846236527</v>
      </c>
      <c r="N1554" s="294">
        <v>0</v>
      </c>
      <c r="O1554" s="294" t="str">
        <f t="shared" si="230"/>
        <v/>
      </c>
      <c r="P1554" s="294"/>
    </row>
    <row r="1555" spans="1:16">
      <c r="A1555" s="294"/>
      <c r="B1555" s="294" t="s">
        <v>622</v>
      </c>
      <c r="C1555" s="294" t="s">
        <v>623</v>
      </c>
      <c r="D1555" s="295" t="s">
        <v>1067</v>
      </c>
      <c r="E1555" s="296">
        <v>6</v>
      </c>
      <c r="F1555" s="294">
        <v>22.3</v>
      </c>
      <c r="G1555" s="308">
        <f t="shared" si="232"/>
        <v>13.90255763</v>
      </c>
      <c r="H1555" s="294">
        <v>89.1</v>
      </c>
      <c r="I1555" s="297"/>
      <c r="J1555" s="297"/>
      <c r="K1555" s="294">
        <f t="shared" si="220"/>
        <v>1.9647999999999999</v>
      </c>
      <c r="L1555" s="294">
        <f t="shared" si="221"/>
        <v>0.70718560508058281</v>
      </c>
      <c r="M1555" s="309">
        <f t="shared" si="233"/>
        <v>4.7136783957425035</v>
      </c>
      <c r="N1555" s="294">
        <v>0</v>
      </c>
      <c r="O1555" s="294" t="str">
        <f t="shared" si="230"/>
        <v/>
      </c>
      <c r="P1555" s="294"/>
    </row>
    <row r="1556" spans="1:16">
      <c r="A1556" s="294"/>
      <c r="B1556" s="294" t="s">
        <v>622</v>
      </c>
      <c r="C1556" s="294" t="s">
        <v>623</v>
      </c>
      <c r="D1556" s="295" t="s">
        <v>1067</v>
      </c>
      <c r="E1556" s="296">
        <v>7</v>
      </c>
      <c r="F1556" s="294">
        <v>26</v>
      </c>
      <c r="G1556" s="308">
        <f t="shared" si="232"/>
        <v>15.31349677</v>
      </c>
      <c r="H1556" s="294">
        <v>128.9</v>
      </c>
      <c r="I1556" s="297"/>
      <c r="J1556" s="297"/>
      <c r="K1556" s="294">
        <f t="shared" si="220"/>
        <v>1.8759999999999999</v>
      </c>
      <c r="L1556" s="294">
        <f t="shared" si="221"/>
        <v>0.74563054537472673</v>
      </c>
      <c r="M1556" s="309">
        <f t="shared" si="233"/>
        <v>5.7312784068852141</v>
      </c>
      <c r="N1556" s="294">
        <v>1</v>
      </c>
      <c r="O1556" s="294">
        <f t="shared" si="230"/>
        <v>5.7312784068852141</v>
      </c>
      <c r="P1556" s="294"/>
    </row>
    <row r="1557" spans="1:16">
      <c r="A1557" s="294"/>
      <c r="B1557" s="294" t="s">
        <v>622</v>
      </c>
      <c r="C1557" s="294" t="s">
        <v>623</v>
      </c>
      <c r="D1557" s="295" t="s">
        <v>1067</v>
      </c>
      <c r="E1557" s="296">
        <v>8</v>
      </c>
      <c r="F1557" s="294">
        <v>26.7</v>
      </c>
      <c r="G1557" s="308">
        <f t="shared" si="232"/>
        <v>16.719278020000001</v>
      </c>
      <c r="H1557" s="294">
        <v>176.4</v>
      </c>
      <c r="I1557" s="297"/>
      <c r="J1557" s="297"/>
      <c r="K1557" s="294">
        <f t="shared" si="220"/>
        <v>1.8592</v>
      </c>
      <c r="L1557" s="294">
        <f t="shared" si="221"/>
        <v>0.75239240916315608</v>
      </c>
      <c r="M1557" s="309">
        <f t="shared" si="233"/>
        <v>6.3700959535285167</v>
      </c>
      <c r="N1557" s="294">
        <v>1</v>
      </c>
      <c r="O1557" s="294">
        <f t="shared" si="230"/>
        <v>6.3700959535285167</v>
      </c>
      <c r="P1557" s="294"/>
    </row>
    <row r="1558" spans="1:16">
      <c r="A1558" s="294"/>
      <c r="B1558" s="294" t="s">
        <v>622</v>
      </c>
      <c r="C1558" s="294" t="s">
        <v>623</v>
      </c>
      <c r="D1558" s="295" t="s">
        <v>1067</v>
      </c>
      <c r="E1558" s="296">
        <v>9</v>
      </c>
      <c r="F1558" s="294">
        <v>22.3</v>
      </c>
      <c r="G1558" s="308">
        <f t="shared" si="232"/>
        <v>13.15145644</v>
      </c>
      <c r="H1558" s="294">
        <v>136.80000000000001</v>
      </c>
      <c r="I1558" s="297"/>
      <c r="J1558" s="297"/>
      <c r="K1558" s="294">
        <f t="shared" si="220"/>
        <v>1.9647999999999999</v>
      </c>
      <c r="L1558" s="294">
        <f t="shared" si="221"/>
        <v>0.70718560508058281</v>
      </c>
      <c r="M1558" s="309">
        <f t="shared" si="233"/>
        <v>4.4595569215185202</v>
      </c>
      <c r="N1558" s="294">
        <v>0</v>
      </c>
      <c r="O1558" s="294" t="str">
        <f t="shared" si="230"/>
        <v/>
      </c>
      <c r="P1558" s="294"/>
    </row>
    <row r="1559" spans="1:16">
      <c r="A1559" s="294"/>
      <c r="B1559" s="294" t="s">
        <v>622</v>
      </c>
      <c r="C1559" s="294" t="s">
        <v>623</v>
      </c>
      <c r="D1559" s="295" t="s">
        <v>1067</v>
      </c>
      <c r="E1559" s="296">
        <v>10</v>
      </c>
      <c r="F1559" s="294">
        <v>16.7</v>
      </c>
      <c r="G1559" s="308">
        <f t="shared" si="232"/>
        <v>14.24246037</v>
      </c>
      <c r="H1559" s="294">
        <v>226.9</v>
      </c>
      <c r="I1559" s="297"/>
      <c r="J1559" s="297"/>
      <c r="K1559" s="294">
        <f t="shared" si="220"/>
        <v>2.0992000000000002</v>
      </c>
      <c r="L1559" s="294">
        <f t="shared" si="221"/>
        <v>0.64078736157508165</v>
      </c>
      <c r="M1559" s="309">
        <f t="shared" si="233"/>
        <v>4.0967022135385678</v>
      </c>
      <c r="N1559" s="294">
        <v>0</v>
      </c>
      <c r="O1559" s="294" t="str">
        <f t="shared" si="230"/>
        <v/>
      </c>
      <c r="P1559" s="294"/>
    </row>
    <row r="1560" spans="1:16">
      <c r="A1560" s="294"/>
      <c r="B1560" s="294" t="s">
        <v>622</v>
      </c>
      <c r="C1560" s="294" t="s">
        <v>623</v>
      </c>
      <c r="D1560" s="295" t="s">
        <v>1067</v>
      </c>
      <c r="E1560" s="296">
        <v>11</v>
      </c>
      <c r="F1560" s="294">
        <v>14.4</v>
      </c>
      <c r="G1560" s="308">
        <f t="shared" si="232"/>
        <v>6.8269758299999985</v>
      </c>
      <c r="H1560" s="294">
        <v>93.1</v>
      </c>
      <c r="I1560" s="297"/>
      <c r="J1560" s="297"/>
      <c r="K1560" s="294">
        <f t="shared" si="220"/>
        <v>2.1543999999999999</v>
      </c>
      <c r="L1560" s="294">
        <f t="shared" si="221"/>
        <v>0.61099561633520971</v>
      </c>
      <c r="M1560" s="309">
        <f t="shared" si="233"/>
        <v>1.829985688200447</v>
      </c>
      <c r="N1560" s="294">
        <v>0</v>
      </c>
      <c r="O1560" s="294" t="str">
        <f t="shared" si="230"/>
        <v/>
      </c>
      <c r="P1560" s="294"/>
    </row>
    <row r="1561" spans="1:16">
      <c r="A1561" s="294"/>
      <c r="B1561" s="294" t="s">
        <v>622</v>
      </c>
      <c r="C1561" s="294" t="s">
        <v>623</v>
      </c>
      <c r="D1561" s="295" t="s">
        <v>1067</v>
      </c>
      <c r="E1561" s="296">
        <v>12</v>
      </c>
      <c r="F1561" s="294">
        <v>7.8</v>
      </c>
      <c r="G1561" s="308">
        <f t="shared" si="232"/>
        <v>6.3465934399999986</v>
      </c>
      <c r="H1561" s="294">
        <v>110.8</v>
      </c>
      <c r="I1561" s="297"/>
      <c r="J1561" s="297"/>
      <c r="K1561" s="294">
        <f t="shared" si="220"/>
        <v>2.3128000000000002</v>
      </c>
      <c r="L1561" s="294">
        <f t="shared" si="221"/>
        <v>0.51974411192253844</v>
      </c>
      <c r="M1561" s="309">
        <f t="shared" si="233"/>
        <v>1.350664258445968</v>
      </c>
      <c r="N1561" s="294">
        <v>0</v>
      </c>
      <c r="O1561" s="294" t="str">
        <f t="shared" si="230"/>
        <v/>
      </c>
      <c r="P1561" s="294"/>
    </row>
    <row r="1562" spans="1:16">
      <c r="A1562" s="294">
        <v>131</v>
      </c>
      <c r="B1562" s="294" t="s">
        <v>624</v>
      </c>
      <c r="C1562" s="294" t="s">
        <v>624</v>
      </c>
      <c r="D1562" s="295" t="s">
        <v>1067</v>
      </c>
      <c r="E1562" s="296">
        <v>1</v>
      </c>
      <c r="F1562" s="294">
        <v>6.6</v>
      </c>
      <c r="G1562" s="294">
        <v>8.6</v>
      </c>
      <c r="H1562" s="294"/>
      <c r="I1562" s="294">
        <v>0.873</v>
      </c>
      <c r="J1562" s="294">
        <v>0.27</v>
      </c>
      <c r="K1562" s="294">
        <f t="shared" si="220"/>
        <v>2.3416000000000001</v>
      </c>
      <c r="L1562" s="294">
        <f t="shared" si="221"/>
        <v>0.5025819590057089</v>
      </c>
      <c r="M1562" s="297">
        <f>$I$1562*L1562*(G1562/K1562)+$J$1562</f>
        <v>1.8814130644956701</v>
      </c>
      <c r="N1562" s="294">
        <v>0</v>
      </c>
      <c r="O1562" s="294" t="str">
        <f t="shared" si="230"/>
        <v/>
      </c>
      <c r="P1562" s="294">
        <f>AVERAGE(O1562:O1573)</f>
        <v>6.1367793402194613</v>
      </c>
    </row>
    <row r="1563" spans="1:16">
      <c r="A1563" s="294"/>
      <c r="B1563" s="294" t="s">
        <v>624</v>
      </c>
      <c r="C1563" s="294" t="s">
        <v>624</v>
      </c>
      <c r="D1563" s="295" t="s">
        <v>1067</v>
      </c>
      <c r="E1563" s="296">
        <v>2</v>
      </c>
      <c r="F1563" s="294">
        <v>6.8</v>
      </c>
      <c r="G1563" s="294">
        <v>10.1</v>
      </c>
      <c r="H1563" s="294"/>
      <c r="I1563" s="294"/>
      <c r="J1563" s="294"/>
      <c r="K1563" s="294">
        <f t="shared" si="220"/>
        <v>2.3368000000000002</v>
      </c>
      <c r="L1563" s="294">
        <f t="shared" si="221"/>
        <v>0.50544832057472966</v>
      </c>
      <c r="M1563" s="297">
        <f t="shared" ref="M1563:M1573" si="234">$I$1562*L1563*(G1563/K1563)+$J$1562</f>
        <v>2.1771762568484947</v>
      </c>
      <c r="N1563" s="294">
        <v>0</v>
      </c>
      <c r="O1563" s="294" t="str">
        <f t="shared" si="230"/>
        <v/>
      </c>
      <c r="P1563" s="294"/>
    </row>
    <row r="1564" spans="1:16">
      <c r="A1564" s="294"/>
      <c r="B1564" s="294" t="s">
        <v>624</v>
      </c>
      <c r="C1564" s="294" t="s">
        <v>624</v>
      </c>
      <c r="D1564" s="295" t="s">
        <v>1067</v>
      </c>
      <c r="E1564" s="296">
        <v>3</v>
      </c>
      <c r="F1564" s="294">
        <v>10.9</v>
      </c>
      <c r="G1564" s="294">
        <v>14.8</v>
      </c>
      <c r="H1564" s="294"/>
      <c r="I1564" s="294"/>
      <c r="J1564" s="294"/>
      <c r="K1564" s="294">
        <f t="shared" si="220"/>
        <v>2.2383999999999999</v>
      </c>
      <c r="L1564" s="294">
        <f t="shared" si="221"/>
        <v>0.56345026615865479</v>
      </c>
      <c r="M1564" s="297">
        <f t="shared" si="234"/>
        <v>3.5223243472463741</v>
      </c>
      <c r="N1564" s="294">
        <v>0</v>
      </c>
      <c r="O1564" s="294" t="str">
        <f t="shared" si="230"/>
        <v/>
      </c>
      <c r="P1564" s="294"/>
    </row>
    <row r="1565" spans="1:16">
      <c r="A1565" s="294"/>
      <c r="B1565" s="294" t="s">
        <v>624</v>
      </c>
      <c r="C1565" s="294" t="s">
        <v>624</v>
      </c>
      <c r="D1565" s="295" t="s">
        <v>1067</v>
      </c>
      <c r="E1565" s="296">
        <v>4</v>
      </c>
      <c r="F1565" s="294">
        <v>17.100000000000001</v>
      </c>
      <c r="G1565" s="294">
        <v>15.3</v>
      </c>
      <c r="H1565" s="294"/>
      <c r="I1565" s="294"/>
      <c r="J1565" s="294"/>
      <c r="K1565" s="294">
        <f t="shared" si="220"/>
        <v>2.0895999999999999</v>
      </c>
      <c r="L1565" s="294">
        <f t="shared" si="221"/>
        <v>0.64583116355221615</v>
      </c>
      <c r="M1565" s="297">
        <f t="shared" si="234"/>
        <v>4.3982074408741365</v>
      </c>
      <c r="N1565" s="294">
        <v>0</v>
      </c>
      <c r="O1565" s="294" t="str">
        <f t="shared" si="230"/>
        <v/>
      </c>
      <c r="P1565" s="294"/>
    </row>
    <row r="1566" spans="1:16">
      <c r="A1566" s="294"/>
      <c r="B1566" s="294" t="s">
        <v>624</v>
      </c>
      <c r="C1566" s="294" t="s">
        <v>624</v>
      </c>
      <c r="D1566" s="295" t="s">
        <v>1067</v>
      </c>
      <c r="E1566" s="296">
        <v>5</v>
      </c>
      <c r="F1566" s="294">
        <v>21.2</v>
      </c>
      <c r="G1566" s="294">
        <v>18.3</v>
      </c>
      <c r="H1566" s="294"/>
      <c r="I1566" s="294"/>
      <c r="J1566" s="294"/>
      <c r="K1566" s="294">
        <f t="shared" si="220"/>
        <v>1.9912000000000001</v>
      </c>
      <c r="L1566" s="294">
        <f t="shared" si="221"/>
        <v>0.69489543911089335</v>
      </c>
      <c r="M1566" s="297">
        <f t="shared" si="234"/>
        <v>5.8453214371694067</v>
      </c>
      <c r="N1566" s="294">
        <v>0</v>
      </c>
      <c r="O1566" s="294" t="str">
        <f t="shared" si="230"/>
        <v/>
      </c>
      <c r="P1566" s="294"/>
    </row>
    <row r="1567" spans="1:16">
      <c r="A1567" s="294"/>
      <c r="B1567" s="294" t="s">
        <v>624</v>
      </c>
      <c r="C1567" s="294" t="s">
        <v>624</v>
      </c>
      <c r="D1567" s="295" t="s">
        <v>1067</v>
      </c>
      <c r="E1567" s="296">
        <v>6</v>
      </c>
      <c r="F1567" s="294">
        <v>22.4</v>
      </c>
      <c r="G1567" s="294">
        <v>11.5</v>
      </c>
      <c r="H1567" s="294"/>
      <c r="I1567" s="294"/>
      <c r="J1567" s="294"/>
      <c r="K1567" s="294">
        <f t="shared" si="220"/>
        <v>1.9624000000000001</v>
      </c>
      <c r="L1567" s="294">
        <f t="shared" si="221"/>
        <v>0.70828368713210621</v>
      </c>
      <c r="M1567" s="297">
        <f t="shared" si="234"/>
        <v>3.8935293910328062</v>
      </c>
      <c r="N1567" s="294">
        <v>0</v>
      </c>
      <c r="O1567" s="294" t="str">
        <f t="shared" si="230"/>
        <v/>
      </c>
      <c r="P1567" s="294"/>
    </row>
    <row r="1568" spans="1:16">
      <c r="A1568" s="294"/>
      <c r="B1568" s="294" t="s">
        <v>624</v>
      </c>
      <c r="C1568" s="294" t="s">
        <v>624</v>
      </c>
      <c r="D1568" s="295" t="s">
        <v>1067</v>
      </c>
      <c r="E1568" s="296">
        <v>7</v>
      </c>
      <c r="F1568" s="294">
        <v>26.2</v>
      </c>
      <c r="G1568" s="294">
        <v>15.7</v>
      </c>
      <c r="H1568" s="294"/>
      <c r="I1568" s="294"/>
      <c r="J1568" s="294"/>
      <c r="K1568" s="294">
        <f t="shared" si="220"/>
        <v>1.8712</v>
      </c>
      <c r="L1568" s="294">
        <f t="shared" si="221"/>
        <v>0.74757921999786014</v>
      </c>
      <c r="M1568" s="297">
        <f t="shared" si="234"/>
        <v>5.7458419982966387</v>
      </c>
      <c r="N1568" s="294">
        <v>1</v>
      </c>
      <c r="O1568" s="294">
        <f t="shared" si="230"/>
        <v>5.7458419982966387</v>
      </c>
      <c r="P1568" s="294"/>
    </row>
    <row r="1569" spans="1:16">
      <c r="A1569" s="294"/>
      <c r="B1569" s="294" t="s">
        <v>624</v>
      </c>
      <c r="C1569" s="294" t="s">
        <v>624</v>
      </c>
      <c r="D1569" s="295" t="s">
        <v>1067</v>
      </c>
      <c r="E1569" s="296">
        <v>8</v>
      </c>
      <c r="F1569" s="294">
        <v>27.4</v>
      </c>
      <c r="G1569" s="294">
        <v>17.399999999999999</v>
      </c>
      <c r="H1569" s="294"/>
      <c r="I1569" s="294"/>
      <c r="J1569" s="294"/>
      <c r="K1569" s="294">
        <f t="shared" si="220"/>
        <v>1.8424</v>
      </c>
      <c r="L1569" s="294">
        <f t="shared" si="221"/>
        <v>0.75899048170392402</v>
      </c>
      <c r="M1569" s="297">
        <f t="shared" si="234"/>
        <v>6.5277166821422838</v>
      </c>
      <c r="N1569" s="294">
        <v>1</v>
      </c>
      <c r="O1569" s="294">
        <f t="shared" si="230"/>
        <v>6.5277166821422838</v>
      </c>
      <c r="P1569" s="294"/>
    </row>
    <row r="1570" spans="1:16">
      <c r="A1570" s="294"/>
      <c r="B1570" s="294" t="s">
        <v>624</v>
      </c>
      <c r="C1570" s="294" t="s">
        <v>624</v>
      </c>
      <c r="D1570" s="295" t="s">
        <v>1067</v>
      </c>
      <c r="E1570" s="296">
        <v>9</v>
      </c>
      <c r="F1570" s="294">
        <v>23.9</v>
      </c>
      <c r="G1570" s="294">
        <v>16.2</v>
      </c>
      <c r="H1570" s="294"/>
      <c r="I1570" s="294"/>
      <c r="J1570" s="294"/>
      <c r="K1570" s="294">
        <f t="shared" si="220"/>
        <v>1.9264000000000001</v>
      </c>
      <c r="L1570" s="294">
        <f t="shared" si="221"/>
        <v>0.72436467251145376</v>
      </c>
      <c r="M1570" s="297">
        <f t="shared" si="234"/>
        <v>5.587898576339537</v>
      </c>
      <c r="N1570" s="294">
        <v>0</v>
      </c>
      <c r="O1570" s="294" t="str">
        <f t="shared" si="230"/>
        <v/>
      </c>
      <c r="P1570" s="294"/>
    </row>
    <row r="1571" spans="1:16">
      <c r="A1571" s="294"/>
      <c r="B1571" s="294" t="s">
        <v>624</v>
      </c>
      <c r="C1571" s="294" t="s">
        <v>624</v>
      </c>
      <c r="D1571" s="295" t="s">
        <v>1067</v>
      </c>
      <c r="E1571" s="296">
        <v>10</v>
      </c>
      <c r="F1571" s="294">
        <v>18.7</v>
      </c>
      <c r="G1571" s="294">
        <v>15</v>
      </c>
      <c r="H1571" s="294"/>
      <c r="I1571" s="294"/>
      <c r="J1571" s="294"/>
      <c r="K1571" s="294">
        <f t="shared" si="220"/>
        <v>2.0512000000000001</v>
      </c>
      <c r="L1571" s="294">
        <f t="shared" si="221"/>
        <v>0.66556547157492041</v>
      </c>
      <c r="M1571" s="297">
        <f t="shared" si="234"/>
        <v>4.5190151376138754</v>
      </c>
      <c r="N1571" s="294">
        <v>0</v>
      </c>
      <c r="O1571" s="294" t="str">
        <f t="shared" si="230"/>
        <v/>
      </c>
      <c r="P1571" s="294"/>
    </row>
    <row r="1572" spans="1:16">
      <c r="A1572" s="294"/>
      <c r="B1572" s="294" t="s">
        <v>624</v>
      </c>
      <c r="C1572" s="294" t="s">
        <v>624</v>
      </c>
      <c r="D1572" s="295" t="s">
        <v>1067</v>
      </c>
      <c r="E1572" s="296">
        <v>11</v>
      </c>
      <c r="F1572" s="294">
        <v>16</v>
      </c>
      <c r="G1572" s="294">
        <v>8.3000000000000007</v>
      </c>
      <c r="H1572" s="294"/>
      <c r="I1572" s="294"/>
      <c r="J1572" s="294"/>
      <c r="K1572" s="294">
        <f t="shared" si="220"/>
        <v>2.1160000000000001</v>
      </c>
      <c r="L1572" s="294">
        <f t="shared" si="221"/>
        <v>0.63185951626122749</v>
      </c>
      <c r="M1572" s="297">
        <f t="shared" si="234"/>
        <v>2.4337007886943423</v>
      </c>
      <c r="N1572" s="294">
        <v>0</v>
      </c>
      <c r="O1572" s="294" t="str">
        <f t="shared" si="230"/>
        <v/>
      </c>
      <c r="P1572" s="294"/>
    </row>
    <row r="1573" spans="1:16">
      <c r="A1573" s="294"/>
      <c r="B1573" s="294" t="s">
        <v>624</v>
      </c>
      <c r="C1573" s="294" t="s">
        <v>624</v>
      </c>
      <c r="D1573" s="295" t="s">
        <v>1067</v>
      </c>
      <c r="E1573" s="296">
        <v>12</v>
      </c>
      <c r="F1573" s="294">
        <v>9.5</v>
      </c>
      <c r="G1573" s="294">
        <v>8</v>
      </c>
      <c r="H1573" s="294"/>
      <c r="I1573" s="294"/>
      <c r="J1573" s="294"/>
      <c r="K1573" s="294">
        <f t="shared" si="220"/>
        <v>2.2719999999999998</v>
      </c>
      <c r="L1573" s="294">
        <f t="shared" si="221"/>
        <v>0.54385283124797501</v>
      </c>
      <c r="M1573" s="297">
        <f t="shared" si="234"/>
        <v>1.9417729636601486</v>
      </c>
      <c r="N1573" s="294">
        <v>0</v>
      </c>
      <c r="O1573" s="294" t="str">
        <f t="shared" si="230"/>
        <v/>
      </c>
      <c r="P1573" s="294"/>
    </row>
    <row r="1574" spans="1:16">
      <c r="A1574" s="294">
        <v>132</v>
      </c>
      <c r="B1574" s="294" t="s">
        <v>412</v>
      </c>
      <c r="C1574" s="294" t="s">
        <v>625</v>
      </c>
      <c r="D1574" s="295" t="s">
        <v>1067</v>
      </c>
      <c r="E1574" s="296">
        <v>1</v>
      </c>
      <c r="F1574" s="294">
        <v>-0.6</v>
      </c>
      <c r="G1574" s="308">
        <f t="shared" ref="G1574:G1609" si="235">$T$11+$T$12*H1574+INDEX($T$13:$T$24,MATCH(E1574,$S$13:$S$24,0),1)</f>
        <v>6.0508944999999992</v>
      </c>
      <c r="H1574" s="294">
        <v>89</v>
      </c>
      <c r="I1574" s="306">
        <v>0.98199999999999998</v>
      </c>
      <c r="J1574" s="307">
        <v>0.26</v>
      </c>
      <c r="K1574" s="294">
        <f t="shared" si="220"/>
        <v>2.5144000000000002</v>
      </c>
      <c r="L1574" s="294">
        <f t="shared" si="221"/>
        <v>0.39973353071255374</v>
      </c>
      <c r="M1574" s="309">
        <f t="shared" ref="M1574:M1582" si="236">$I$1574*L1574*(G1574/K1574)+$J$1574</f>
        <v>1.2046420636533552</v>
      </c>
      <c r="N1574" s="294">
        <v>0</v>
      </c>
      <c r="O1574" s="294" t="str">
        <f t="shared" si="230"/>
        <v/>
      </c>
      <c r="P1574" s="294">
        <f>AVERAGE(O1574:O1585)</f>
        <v>5.1156413491791639</v>
      </c>
    </row>
    <row r="1575" spans="1:16">
      <c r="A1575" s="294"/>
      <c r="B1575" s="294" t="s">
        <v>412</v>
      </c>
      <c r="C1575" s="294" t="s">
        <v>625</v>
      </c>
      <c r="D1575" s="295" t="s">
        <v>1067</v>
      </c>
      <c r="E1575" s="296">
        <v>2</v>
      </c>
      <c r="F1575" s="294">
        <v>-0.9</v>
      </c>
      <c r="G1575" s="308">
        <f t="shared" si="235"/>
        <v>8.1752598499999998</v>
      </c>
      <c r="H1575" s="294">
        <v>82.5</v>
      </c>
      <c r="I1575" s="297"/>
      <c r="J1575" s="297"/>
      <c r="K1575" s="294">
        <f t="shared" si="220"/>
        <v>2.5215999999999998</v>
      </c>
      <c r="L1575" s="294">
        <f t="shared" si="221"/>
        <v>0.39553668446706691</v>
      </c>
      <c r="M1575" s="309">
        <f t="shared" si="236"/>
        <v>1.5192838287447126</v>
      </c>
      <c r="N1575" s="294">
        <v>0</v>
      </c>
      <c r="O1575" s="294" t="str">
        <f t="shared" si="230"/>
        <v/>
      </c>
      <c r="P1575" s="294"/>
    </row>
    <row r="1576" spans="1:16">
      <c r="A1576" s="294"/>
      <c r="B1576" s="294" t="s">
        <v>412</v>
      </c>
      <c r="C1576" s="294" t="s">
        <v>625</v>
      </c>
      <c r="D1576" s="295" t="s">
        <v>1067</v>
      </c>
      <c r="E1576" s="296">
        <v>3</v>
      </c>
      <c r="F1576" s="294">
        <v>4.0999999999999996</v>
      </c>
      <c r="G1576" s="308">
        <f t="shared" si="235"/>
        <v>12.64824827</v>
      </c>
      <c r="H1576" s="294">
        <v>144.9</v>
      </c>
      <c r="I1576" s="297"/>
      <c r="J1576" s="297"/>
      <c r="K1576" s="294">
        <f t="shared" si="220"/>
        <v>2.4016000000000002</v>
      </c>
      <c r="L1576" s="294">
        <f t="shared" si="221"/>
        <v>0.46665792306441634</v>
      </c>
      <c r="M1576" s="309">
        <f t="shared" si="236"/>
        <v>2.6734585165122553</v>
      </c>
      <c r="N1576" s="294">
        <v>0</v>
      </c>
      <c r="O1576" s="294" t="str">
        <f t="shared" si="230"/>
        <v/>
      </c>
      <c r="P1576" s="294"/>
    </row>
    <row r="1577" spans="1:16">
      <c r="A1577" s="294"/>
      <c r="B1577" s="294" t="s">
        <v>412</v>
      </c>
      <c r="C1577" s="294" t="s">
        <v>625</v>
      </c>
      <c r="D1577" s="295" t="s">
        <v>1067</v>
      </c>
      <c r="E1577" s="296">
        <v>4</v>
      </c>
      <c r="F1577" s="294">
        <v>10.5</v>
      </c>
      <c r="G1577" s="308">
        <f t="shared" si="235"/>
        <v>12.53959972</v>
      </c>
      <c r="H1577" s="294">
        <v>100.4</v>
      </c>
      <c r="I1577" s="297"/>
      <c r="J1577" s="297"/>
      <c r="K1577" s="294">
        <f t="shared" si="220"/>
        <v>2.2480000000000002</v>
      </c>
      <c r="L1577" s="294">
        <f t="shared" si="221"/>
        <v>0.55787898239898637</v>
      </c>
      <c r="M1577" s="309">
        <f t="shared" si="236"/>
        <v>3.3158980013867874</v>
      </c>
      <c r="N1577" s="294">
        <v>0</v>
      </c>
      <c r="O1577" s="294" t="str">
        <f t="shared" si="230"/>
        <v/>
      </c>
      <c r="P1577" s="294"/>
    </row>
    <row r="1578" spans="1:16">
      <c r="A1578" s="294"/>
      <c r="B1578" s="294" t="s">
        <v>412</v>
      </c>
      <c r="C1578" s="294" t="s">
        <v>625</v>
      </c>
      <c r="D1578" s="295" t="s">
        <v>1067</v>
      </c>
      <c r="E1578" s="296">
        <v>5</v>
      </c>
      <c r="F1578" s="294">
        <v>14.2</v>
      </c>
      <c r="G1578" s="308">
        <f t="shared" si="235"/>
        <v>17.578751610000001</v>
      </c>
      <c r="H1578" s="294">
        <v>171.7</v>
      </c>
      <c r="I1578" s="297"/>
      <c r="J1578" s="297"/>
      <c r="K1578" s="294">
        <f t="shared" si="220"/>
        <v>2.1592000000000002</v>
      </c>
      <c r="L1578" s="294">
        <f t="shared" si="221"/>
        <v>0.60834542565835392</v>
      </c>
      <c r="M1578" s="309">
        <f t="shared" si="236"/>
        <v>5.1235892804625891</v>
      </c>
      <c r="N1578" s="294">
        <v>0</v>
      </c>
      <c r="O1578" s="294" t="str">
        <f t="shared" si="230"/>
        <v/>
      </c>
      <c r="P1578" s="294"/>
    </row>
    <row r="1579" spans="1:16">
      <c r="A1579" s="294"/>
      <c r="B1579" s="294" t="s">
        <v>412</v>
      </c>
      <c r="C1579" s="294" t="s">
        <v>625</v>
      </c>
      <c r="D1579" s="295" t="s">
        <v>1067</v>
      </c>
      <c r="E1579" s="296">
        <v>6</v>
      </c>
      <c r="F1579" s="294">
        <v>16.3</v>
      </c>
      <c r="G1579" s="308">
        <f t="shared" si="235"/>
        <v>12.97396391</v>
      </c>
      <c r="H1579" s="294">
        <v>68.7</v>
      </c>
      <c r="I1579" s="297"/>
      <c r="J1579" s="297"/>
      <c r="K1579" s="294">
        <f t="shared" si="220"/>
        <v>2.1088</v>
      </c>
      <c r="L1579" s="294">
        <f t="shared" si="221"/>
        <v>0.63570126432395468</v>
      </c>
      <c r="M1579" s="309">
        <f t="shared" si="236"/>
        <v>4.1006245666656449</v>
      </c>
      <c r="N1579" s="294">
        <v>0</v>
      </c>
      <c r="O1579" s="294" t="str">
        <f t="shared" si="230"/>
        <v/>
      </c>
      <c r="P1579" s="294"/>
    </row>
    <row r="1580" spans="1:16">
      <c r="A1580" s="294"/>
      <c r="B1580" s="294" t="s">
        <v>412</v>
      </c>
      <c r="C1580" s="294" t="s">
        <v>625</v>
      </c>
      <c r="D1580" s="295" t="s">
        <v>1067</v>
      </c>
      <c r="E1580" s="296">
        <v>7</v>
      </c>
      <c r="F1580" s="294">
        <v>19.399999999999999</v>
      </c>
      <c r="G1580" s="308">
        <f t="shared" si="235"/>
        <v>14.048060229999999</v>
      </c>
      <c r="H1580" s="294">
        <v>101.1</v>
      </c>
      <c r="I1580" s="297"/>
      <c r="J1580" s="297"/>
      <c r="K1580" s="294">
        <f t="shared" si="220"/>
        <v>2.0344000000000002</v>
      </c>
      <c r="L1580" s="294">
        <f t="shared" si="221"/>
        <v>0.67396814722434939</v>
      </c>
      <c r="M1580" s="309">
        <f t="shared" si="236"/>
        <v>4.8301544008324813</v>
      </c>
      <c r="N1580" s="294">
        <v>1</v>
      </c>
      <c r="O1580" s="294">
        <f t="shared" si="230"/>
        <v>4.8301544008324813</v>
      </c>
      <c r="P1580" s="294"/>
    </row>
    <row r="1581" spans="1:16">
      <c r="A1581" s="294"/>
      <c r="B1581" s="294" t="s">
        <v>412</v>
      </c>
      <c r="C1581" s="294" t="s">
        <v>625</v>
      </c>
      <c r="D1581" s="295" t="s">
        <v>1067</v>
      </c>
      <c r="E1581" s="296">
        <v>8</v>
      </c>
      <c r="F1581" s="294">
        <v>20.399999999999999</v>
      </c>
      <c r="G1581" s="308">
        <f t="shared" si="235"/>
        <v>15.349147090000001</v>
      </c>
      <c r="H1581" s="294">
        <v>146.30000000000001</v>
      </c>
      <c r="I1581" s="297"/>
      <c r="J1581" s="297"/>
      <c r="K1581" s="294">
        <f t="shared" si="220"/>
        <v>2.0104000000000002</v>
      </c>
      <c r="L1581" s="294">
        <f t="shared" si="221"/>
        <v>0.68571741889485172</v>
      </c>
      <c r="M1581" s="309">
        <f t="shared" si="236"/>
        <v>5.4011282975258474</v>
      </c>
      <c r="N1581" s="294">
        <v>1</v>
      </c>
      <c r="O1581" s="294">
        <f t="shared" si="230"/>
        <v>5.4011282975258474</v>
      </c>
      <c r="P1581" s="294"/>
    </row>
    <row r="1582" spans="1:16">
      <c r="A1582" s="294"/>
      <c r="B1582" s="294" t="s">
        <v>412</v>
      </c>
      <c r="C1582" s="294" t="s">
        <v>625</v>
      </c>
      <c r="D1582" s="295" t="s">
        <v>1067</v>
      </c>
      <c r="E1582" s="296">
        <v>9</v>
      </c>
      <c r="F1582" s="294">
        <v>16.5</v>
      </c>
      <c r="G1582" s="308">
        <f t="shared" si="235"/>
        <v>8.9500250499999989</v>
      </c>
      <c r="H1582" s="294">
        <v>44.5</v>
      </c>
      <c r="I1582" s="297"/>
      <c r="J1582" s="297"/>
      <c r="K1582" s="294">
        <f t="shared" si="220"/>
        <v>2.1040000000000001</v>
      </c>
      <c r="L1582" s="294">
        <f t="shared" si="221"/>
        <v>0.63824954026778424</v>
      </c>
      <c r="M1582" s="309">
        <f t="shared" si="236"/>
        <v>2.9261250403154913</v>
      </c>
      <c r="N1582" s="294">
        <v>0</v>
      </c>
      <c r="O1582" s="294" t="str">
        <f t="shared" si="230"/>
        <v/>
      </c>
      <c r="P1582" s="294"/>
    </row>
    <row r="1583" spans="1:16">
      <c r="A1583" s="294"/>
      <c r="B1583" s="310"/>
      <c r="C1583" s="310"/>
      <c r="D1583" s="311"/>
      <c r="E1583" s="296">
        <v>10</v>
      </c>
      <c r="F1583" s="294">
        <v>17.100000000000001</v>
      </c>
      <c r="G1583" s="308">
        <f t="shared" si="235"/>
        <v>11.43391956</v>
      </c>
      <c r="H1583" s="294">
        <v>165.2</v>
      </c>
      <c r="I1583" s="310"/>
      <c r="J1583" s="310"/>
      <c r="K1583" s="294">
        <f>2.5-0.024*F1583</f>
        <v>2.0895999999999999</v>
      </c>
      <c r="L1583" s="294">
        <f t="shared" si="221"/>
        <v>0.64583116355221615</v>
      </c>
      <c r="M1583" s="309">
        <f>$I$1574*L1583*(H1583/K1583)+$J$1574</f>
        <v>50.399196339436841</v>
      </c>
      <c r="N1583" s="294">
        <v>0</v>
      </c>
      <c r="O1583" s="294" t="str">
        <f t="shared" si="230"/>
        <v/>
      </c>
      <c r="P1583" s="294"/>
    </row>
    <row r="1584" spans="1:16">
      <c r="A1584" s="294"/>
      <c r="B1584" s="310"/>
      <c r="C1584" s="310"/>
      <c r="D1584" s="311"/>
      <c r="E1584" s="296">
        <v>11</v>
      </c>
      <c r="F1584" s="294">
        <v>11.6</v>
      </c>
      <c r="G1584" s="308">
        <f t="shared" si="235"/>
        <v>7.3504477799999997</v>
      </c>
      <c r="H1584" s="294">
        <v>104.6</v>
      </c>
      <c r="I1584" s="310"/>
      <c r="J1584" s="310"/>
      <c r="K1584" s="294">
        <f t="shared" ref="K1584" si="237">2.5-0.024*F1584</f>
        <v>2.2216</v>
      </c>
      <c r="L1584" s="294">
        <f t="shared" si="221"/>
        <v>0.57313992557863624</v>
      </c>
      <c r="M1584" s="309">
        <f>$I$1574*L1584*(H1584/K1584)+$J$1574</f>
        <v>26.759517628576653</v>
      </c>
      <c r="N1584" s="294">
        <v>0</v>
      </c>
      <c r="O1584" s="294" t="str">
        <f t="shared" si="230"/>
        <v/>
      </c>
      <c r="P1584" s="294"/>
    </row>
    <row r="1585" spans="1:16">
      <c r="A1585" s="294"/>
      <c r="B1585" s="294" t="s">
        <v>412</v>
      </c>
      <c r="C1585" s="294" t="s">
        <v>625</v>
      </c>
      <c r="D1585" s="295" t="s">
        <v>1067</v>
      </c>
      <c r="E1585" s="296">
        <v>12</v>
      </c>
      <c r="F1585" s="294">
        <v>1.2</v>
      </c>
      <c r="G1585" s="308">
        <f t="shared" si="235"/>
        <v>4.1616670400000002</v>
      </c>
      <c r="H1585" s="294">
        <v>62.8</v>
      </c>
      <c r="I1585" s="297"/>
      <c r="J1585" s="297"/>
      <c r="K1585" s="294">
        <f t="shared" si="220"/>
        <v>2.4712000000000001</v>
      </c>
      <c r="L1585" s="294">
        <f t="shared" si="221"/>
        <v>0.42514872248376501</v>
      </c>
      <c r="M1585" s="309">
        <f>$I$1574*L1585*(G1585/K1585)+$J$1574</f>
        <v>0.96309142594712427</v>
      </c>
      <c r="N1585" s="294">
        <v>0</v>
      </c>
      <c r="O1585" s="294" t="str">
        <f t="shared" si="230"/>
        <v/>
      </c>
      <c r="P1585" s="294"/>
    </row>
    <row r="1586" spans="1:16">
      <c r="A1586" s="294">
        <v>133</v>
      </c>
      <c r="B1586" s="294" t="s">
        <v>412</v>
      </c>
      <c r="C1586" s="294" t="s">
        <v>626</v>
      </c>
      <c r="D1586" s="295" t="s">
        <v>1067</v>
      </c>
      <c r="E1586" s="296">
        <v>1</v>
      </c>
      <c r="F1586" s="294">
        <v>5.5</v>
      </c>
      <c r="G1586" s="308">
        <f t="shared" si="235"/>
        <v>8.2949959900000003</v>
      </c>
      <c r="H1586" s="294">
        <v>138.30000000000001</v>
      </c>
      <c r="I1586" s="306">
        <v>1.054</v>
      </c>
      <c r="J1586" s="307">
        <v>0.02</v>
      </c>
      <c r="K1586" s="294">
        <f t="shared" si="220"/>
        <v>2.3679999999999999</v>
      </c>
      <c r="L1586" s="294">
        <f t="shared" si="221"/>
        <v>0.48678823254741066</v>
      </c>
      <c r="M1586" s="309">
        <f>$I$1586*L1586*(G1586/K1586)+$J$1586</f>
        <v>1.8172776117211979</v>
      </c>
      <c r="N1586" s="294">
        <v>0</v>
      </c>
      <c r="O1586" s="294" t="str">
        <f t="shared" si="230"/>
        <v/>
      </c>
      <c r="P1586" s="294">
        <f>AVERAGE(O1586:O1597)</f>
        <v>6.292836521226616</v>
      </c>
    </row>
    <row r="1587" spans="1:16">
      <c r="A1587" s="294"/>
      <c r="B1587" s="294" t="s">
        <v>412</v>
      </c>
      <c r="C1587" s="294" t="s">
        <v>626</v>
      </c>
      <c r="D1587" s="295" t="s">
        <v>1067</v>
      </c>
      <c r="E1587" s="296">
        <v>2</v>
      </c>
      <c r="F1587" s="294">
        <v>5.4</v>
      </c>
      <c r="G1587" s="308">
        <f t="shared" si="235"/>
        <v>9.3451058599999985</v>
      </c>
      <c r="H1587" s="294">
        <v>108.2</v>
      </c>
      <c r="I1587" s="297"/>
      <c r="J1587" s="297"/>
      <c r="K1587" s="294">
        <f t="shared" si="220"/>
        <v>2.3704000000000001</v>
      </c>
      <c r="L1587" s="294">
        <f t="shared" si="221"/>
        <v>0.48535075735081867</v>
      </c>
      <c r="M1587" s="309">
        <f t="shared" ref="M1587:M1597" si="238">$I$1586*L1587*(G1587/K1587)+$J$1586</f>
        <v>2.0367817810643776</v>
      </c>
      <c r="N1587" s="294">
        <v>0</v>
      </c>
      <c r="O1587" s="294" t="str">
        <f t="shared" si="230"/>
        <v/>
      </c>
      <c r="P1587" s="294"/>
    </row>
    <row r="1588" spans="1:16">
      <c r="A1588" s="294"/>
      <c r="B1588" s="294" t="s">
        <v>412</v>
      </c>
      <c r="C1588" s="294" t="s">
        <v>626</v>
      </c>
      <c r="D1588" s="295" t="s">
        <v>1067</v>
      </c>
      <c r="E1588" s="296">
        <v>3</v>
      </c>
      <c r="F1588" s="294">
        <v>10</v>
      </c>
      <c r="G1588" s="308">
        <f t="shared" si="235"/>
        <v>13.75891919</v>
      </c>
      <c r="H1588" s="294">
        <v>169.3</v>
      </c>
      <c r="I1588" s="297"/>
      <c r="J1588" s="297"/>
      <c r="K1588" s="294">
        <f t="shared" si="220"/>
        <v>2.2599999999999998</v>
      </c>
      <c r="L1588" s="294">
        <f t="shared" si="221"/>
        <v>0.55088251592251125</v>
      </c>
      <c r="M1588" s="309">
        <f t="shared" si="238"/>
        <v>3.5548865543490509</v>
      </c>
      <c r="N1588" s="294">
        <v>0</v>
      </c>
      <c r="O1588" s="294" t="str">
        <f t="shared" si="230"/>
        <v/>
      </c>
      <c r="P1588" s="294"/>
    </row>
    <row r="1589" spans="1:16">
      <c r="A1589" s="294"/>
      <c r="B1589" s="294" t="s">
        <v>412</v>
      </c>
      <c r="C1589" s="294" t="s">
        <v>626</v>
      </c>
      <c r="D1589" s="295" t="s">
        <v>1067</v>
      </c>
      <c r="E1589" s="296">
        <v>4</v>
      </c>
      <c r="F1589" s="294">
        <v>16.5</v>
      </c>
      <c r="G1589" s="308">
        <f t="shared" si="235"/>
        <v>13.7959324</v>
      </c>
      <c r="H1589" s="294">
        <v>128</v>
      </c>
      <c r="I1589" s="297"/>
      <c r="J1589" s="297"/>
      <c r="K1589" s="294">
        <f t="shared" si="220"/>
        <v>2.1040000000000001</v>
      </c>
      <c r="L1589" s="294">
        <f t="shared" si="221"/>
        <v>0.63824954026778424</v>
      </c>
      <c r="M1589" s="309">
        <f t="shared" si="238"/>
        <v>4.4309937630732712</v>
      </c>
      <c r="N1589" s="294">
        <v>0</v>
      </c>
      <c r="O1589" s="294" t="str">
        <f t="shared" si="230"/>
        <v/>
      </c>
      <c r="P1589" s="294"/>
    </row>
    <row r="1590" spans="1:16">
      <c r="A1590" s="294"/>
      <c r="B1590" s="294" t="s">
        <v>412</v>
      </c>
      <c r="C1590" s="294" t="s">
        <v>626</v>
      </c>
      <c r="D1590" s="295" t="s">
        <v>1067</v>
      </c>
      <c r="E1590" s="296">
        <v>5</v>
      </c>
      <c r="F1590" s="294">
        <v>19.600000000000001</v>
      </c>
      <c r="G1590" s="308">
        <f t="shared" si="235"/>
        <v>18.266093040000001</v>
      </c>
      <c r="H1590" s="294">
        <v>186.8</v>
      </c>
      <c r="I1590" s="297"/>
      <c r="J1590" s="297"/>
      <c r="K1590" s="294">
        <f t="shared" si="220"/>
        <v>2.0295999999999998</v>
      </c>
      <c r="L1590" s="294">
        <f t="shared" si="221"/>
        <v>0.67634220580418636</v>
      </c>
      <c r="M1590" s="309">
        <f t="shared" si="238"/>
        <v>6.4356743494458977</v>
      </c>
      <c r="N1590" s="294">
        <v>0</v>
      </c>
      <c r="O1590" s="294" t="str">
        <f t="shared" si="230"/>
        <v/>
      </c>
      <c r="P1590" s="294"/>
    </row>
    <row r="1591" spans="1:16">
      <c r="A1591" s="294"/>
      <c r="B1591" s="294" t="s">
        <v>412</v>
      </c>
      <c r="C1591" s="294" t="s">
        <v>626</v>
      </c>
      <c r="D1591" s="295" t="s">
        <v>1067</v>
      </c>
      <c r="E1591" s="296">
        <v>6</v>
      </c>
      <c r="F1591" s="294">
        <v>21.3</v>
      </c>
      <c r="G1591" s="308">
        <f t="shared" si="235"/>
        <v>13.22432006</v>
      </c>
      <c r="H1591" s="294">
        <v>74.2</v>
      </c>
      <c r="I1591" s="297"/>
      <c r="J1591" s="297"/>
      <c r="K1591" s="294">
        <f t="shared" si="220"/>
        <v>1.9887999999999999</v>
      </c>
      <c r="L1591" s="294">
        <f t="shared" si="221"/>
        <v>0.69602860950497947</v>
      </c>
      <c r="M1591" s="309">
        <f t="shared" si="238"/>
        <v>4.8980915016960882</v>
      </c>
      <c r="N1591" s="294">
        <v>0</v>
      </c>
      <c r="O1591" s="294" t="str">
        <f t="shared" si="230"/>
        <v/>
      </c>
      <c r="P1591" s="294"/>
    </row>
    <row r="1592" spans="1:16">
      <c r="A1592" s="294"/>
      <c r="B1592" s="294" t="s">
        <v>412</v>
      </c>
      <c r="C1592" s="294" t="s">
        <v>626</v>
      </c>
      <c r="D1592" s="295" t="s">
        <v>1067</v>
      </c>
      <c r="E1592" s="296">
        <v>7</v>
      </c>
      <c r="F1592" s="294">
        <v>25</v>
      </c>
      <c r="G1592" s="308">
        <f t="shared" si="235"/>
        <v>13.9524697</v>
      </c>
      <c r="H1592" s="294">
        <v>99</v>
      </c>
      <c r="I1592" s="297"/>
      <c r="J1592" s="297"/>
      <c r="K1592" s="294">
        <f t="shared" si="220"/>
        <v>1.9</v>
      </c>
      <c r="L1592" s="294">
        <f t="shared" si="221"/>
        <v>0.73568686129580518</v>
      </c>
      <c r="M1592" s="309">
        <f t="shared" si="238"/>
        <v>5.7141787723828346</v>
      </c>
      <c r="N1592" s="294">
        <v>1</v>
      </c>
      <c r="O1592" s="294">
        <f t="shared" si="230"/>
        <v>5.7141787723828346</v>
      </c>
      <c r="P1592" s="294"/>
    </row>
    <row r="1593" spans="1:16">
      <c r="A1593" s="294"/>
      <c r="B1593" s="294" t="s">
        <v>412</v>
      </c>
      <c r="C1593" s="294" t="s">
        <v>626</v>
      </c>
      <c r="D1593" s="295" t="s">
        <v>1067</v>
      </c>
      <c r="E1593" s="296">
        <v>8</v>
      </c>
      <c r="F1593" s="294">
        <v>26</v>
      </c>
      <c r="G1593" s="308">
        <f t="shared" si="235"/>
        <v>16.355123620000001</v>
      </c>
      <c r="H1593" s="294">
        <v>168.4</v>
      </c>
      <c r="I1593" s="297"/>
      <c r="J1593" s="297"/>
      <c r="K1593" s="294">
        <f t="shared" si="220"/>
        <v>1.8759999999999999</v>
      </c>
      <c r="L1593" s="294">
        <f t="shared" si="221"/>
        <v>0.74563054537472673</v>
      </c>
      <c r="M1593" s="309">
        <f t="shared" si="238"/>
        <v>6.8714942700703974</v>
      </c>
      <c r="N1593" s="294">
        <v>1</v>
      </c>
      <c r="O1593" s="294">
        <f t="shared" si="230"/>
        <v>6.8714942700703974</v>
      </c>
      <c r="P1593" s="294"/>
    </row>
    <row r="1594" spans="1:16">
      <c r="A1594" s="294"/>
      <c r="B1594" s="294" t="s">
        <v>412</v>
      </c>
      <c r="C1594" s="294" t="s">
        <v>626</v>
      </c>
      <c r="D1594" s="295" t="s">
        <v>1067</v>
      </c>
      <c r="E1594" s="296">
        <v>9</v>
      </c>
      <c r="F1594" s="294">
        <v>22.5</v>
      </c>
      <c r="G1594" s="308">
        <f t="shared" si="235"/>
        <v>13.41546838</v>
      </c>
      <c r="H1594" s="294">
        <v>142.6</v>
      </c>
      <c r="I1594" s="297"/>
      <c r="J1594" s="297"/>
      <c r="K1594" s="294">
        <f t="shared" si="220"/>
        <v>1.96</v>
      </c>
      <c r="L1594" s="294">
        <f t="shared" si="221"/>
        <v>0.70937854133350386</v>
      </c>
      <c r="M1594" s="309">
        <f t="shared" si="238"/>
        <v>5.1376246131675973</v>
      </c>
      <c r="N1594" s="294">
        <v>0</v>
      </c>
      <c r="O1594" s="294" t="str">
        <f t="shared" si="230"/>
        <v/>
      </c>
      <c r="P1594" s="294"/>
    </row>
    <row r="1595" spans="1:16" s="312" customFormat="1">
      <c r="A1595" s="294"/>
      <c r="B1595" s="294" t="s">
        <v>412</v>
      </c>
      <c r="C1595" s="294" t="s">
        <v>626</v>
      </c>
      <c r="D1595" s="295" t="s">
        <v>1067</v>
      </c>
      <c r="E1595" s="296">
        <v>10</v>
      </c>
      <c r="F1595" s="294">
        <v>16.600000000000001</v>
      </c>
      <c r="G1595" s="308">
        <f t="shared" si="235"/>
        <v>13.960240710000001</v>
      </c>
      <c r="H1595" s="294">
        <v>220.7</v>
      </c>
      <c r="I1595" s="297"/>
      <c r="J1595" s="297"/>
      <c r="K1595" s="294">
        <f t="shared" si="220"/>
        <v>2.1015999999999999</v>
      </c>
      <c r="L1595" s="294">
        <f t="shared" si="221"/>
        <v>0.63951976529868115</v>
      </c>
      <c r="M1595" s="309">
        <f t="shared" si="238"/>
        <v>4.4975189165114191</v>
      </c>
      <c r="N1595" s="294">
        <v>0</v>
      </c>
      <c r="O1595" s="294" t="str">
        <f t="shared" si="230"/>
        <v/>
      </c>
      <c r="P1595" s="294"/>
    </row>
    <row r="1596" spans="1:16" s="312" customFormat="1">
      <c r="A1596" s="294"/>
      <c r="B1596" s="294" t="s">
        <v>412</v>
      </c>
      <c r="C1596" s="294" t="s">
        <v>626</v>
      </c>
      <c r="D1596" s="295" t="s">
        <v>1067</v>
      </c>
      <c r="E1596" s="296">
        <v>11</v>
      </c>
      <c r="F1596" s="294">
        <v>14.7</v>
      </c>
      <c r="G1596" s="308">
        <f t="shared" si="235"/>
        <v>6.6813140699999991</v>
      </c>
      <c r="H1596" s="294">
        <v>89.9</v>
      </c>
      <c r="I1596" s="297"/>
      <c r="J1596" s="297"/>
      <c r="K1596" s="294">
        <f t="shared" si="220"/>
        <v>2.1471999999999998</v>
      </c>
      <c r="L1596" s="294">
        <f t="shared" si="221"/>
        <v>0.61495389297523528</v>
      </c>
      <c r="M1596" s="309">
        <f t="shared" si="238"/>
        <v>2.0368451484741508</v>
      </c>
      <c r="N1596" s="294">
        <v>0</v>
      </c>
      <c r="O1596" s="294" t="str">
        <f t="shared" si="230"/>
        <v/>
      </c>
      <c r="P1596" s="294"/>
    </row>
    <row r="1597" spans="1:16">
      <c r="A1597" s="294"/>
      <c r="B1597" s="294" t="s">
        <v>412</v>
      </c>
      <c r="C1597" s="294" t="s">
        <v>626</v>
      </c>
      <c r="D1597" s="295" t="s">
        <v>1067</v>
      </c>
      <c r="E1597" s="296">
        <v>12</v>
      </c>
      <c r="F1597" s="294">
        <v>8.1999999999999993</v>
      </c>
      <c r="G1597" s="308">
        <f t="shared" si="235"/>
        <v>6.4285281799999998</v>
      </c>
      <c r="H1597" s="294">
        <v>112.6</v>
      </c>
      <c r="I1597" s="297"/>
      <c r="J1597" s="297"/>
      <c r="K1597" s="294">
        <f t="shared" si="220"/>
        <v>2.3031999999999999</v>
      </c>
      <c r="L1597" s="294">
        <f t="shared" si="221"/>
        <v>0.52544179948777858</v>
      </c>
      <c r="M1597" s="309">
        <f t="shared" si="238"/>
        <v>1.5657709080256936</v>
      </c>
      <c r="N1597" s="294">
        <v>0</v>
      </c>
      <c r="O1597" s="294" t="str">
        <f t="shared" si="230"/>
        <v/>
      </c>
      <c r="P1597" s="294"/>
    </row>
    <row r="1598" spans="1:16">
      <c r="A1598" s="294">
        <v>134</v>
      </c>
      <c r="B1598" s="294" t="s">
        <v>412</v>
      </c>
      <c r="C1598" s="294" t="s">
        <v>627</v>
      </c>
      <c r="D1598" s="295" t="s">
        <v>1067</v>
      </c>
      <c r="E1598" s="296">
        <v>1</v>
      </c>
      <c r="F1598" s="294">
        <v>9.3000000000000007</v>
      </c>
      <c r="G1598" s="308">
        <f t="shared" si="235"/>
        <v>7.1797731399999991</v>
      </c>
      <c r="H1598" s="294">
        <v>113.8</v>
      </c>
      <c r="I1598" s="306">
        <v>0.78900000000000003</v>
      </c>
      <c r="J1598" s="307">
        <v>0.44</v>
      </c>
      <c r="K1598" s="294">
        <f t="shared" si="220"/>
        <v>2.2768000000000002</v>
      </c>
      <c r="L1598" s="294">
        <f t="shared" si="221"/>
        <v>0.5410323242451861</v>
      </c>
      <c r="M1598" s="309">
        <f>$I$1598*L1598*(G1598/K1598)+$J$1598</f>
        <v>1.7861270628713655</v>
      </c>
      <c r="N1598" s="294">
        <v>0</v>
      </c>
      <c r="O1598" s="294" t="str">
        <f t="shared" si="230"/>
        <v/>
      </c>
      <c r="P1598" s="294">
        <f>AVERAGE(O1598:O1609)</f>
        <v>5.8094515569699645</v>
      </c>
    </row>
    <row r="1599" spans="1:16">
      <c r="A1599" s="294"/>
      <c r="B1599" s="294" t="s">
        <v>412</v>
      </c>
      <c r="C1599" s="294" t="s">
        <v>627</v>
      </c>
      <c r="D1599" s="295" t="s">
        <v>1067</v>
      </c>
      <c r="E1599" s="296">
        <v>2</v>
      </c>
      <c r="F1599" s="294">
        <v>8.8000000000000007</v>
      </c>
      <c r="G1599" s="308">
        <f t="shared" si="235"/>
        <v>8.9991591799999995</v>
      </c>
      <c r="H1599" s="294">
        <v>100.6</v>
      </c>
      <c r="I1599" s="297"/>
      <c r="J1599" s="297"/>
      <c r="K1599" s="294">
        <f t="shared" si="220"/>
        <v>2.2888000000000002</v>
      </c>
      <c r="L1599" s="294">
        <f t="shared" si="221"/>
        <v>0.5339611698231046</v>
      </c>
      <c r="M1599" s="309">
        <f t="shared" ref="M1599:M1609" si="239">$I$1598*L1599*(G1599/K1599)+$J$1598</f>
        <v>2.0964592945415745</v>
      </c>
      <c r="N1599" s="294">
        <v>0</v>
      </c>
      <c r="O1599" s="294" t="str">
        <f t="shared" si="230"/>
        <v/>
      </c>
      <c r="P1599" s="294"/>
    </row>
    <row r="1600" spans="1:16">
      <c r="A1600" s="294"/>
      <c r="B1600" s="294" t="s">
        <v>412</v>
      </c>
      <c r="C1600" s="294" t="s">
        <v>627</v>
      </c>
      <c r="D1600" s="295" t="s">
        <v>1067</v>
      </c>
      <c r="E1600" s="296">
        <v>3</v>
      </c>
      <c r="F1600" s="294">
        <v>12.1</v>
      </c>
      <c r="G1600" s="308">
        <f t="shared" si="235"/>
        <v>14.100313939999999</v>
      </c>
      <c r="H1600" s="294">
        <v>176.8</v>
      </c>
      <c r="I1600" s="297"/>
      <c r="J1600" s="297"/>
      <c r="K1600" s="294">
        <f t="shared" si="220"/>
        <v>2.2096</v>
      </c>
      <c r="L1600" s="294">
        <f t="shared" si="221"/>
        <v>0.58001070845649794</v>
      </c>
      <c r="M1600" s="309">
        <f t="shared" si="239"/>
        <v>3.3603044887685396</v>
      </c>
      <c r="N1600" s="294">
        <v>0</v>
      </c>
      <c r="O1600" s="294" t="str">
        <f t="shared" si="230"/>
        <v/>
      </c>
      <c r="P1600" s="294"/>
    </row>
    <row r="1601" spans="1:16">
      <c r="A1601" s="294"/>
      <c r="B1601" s="294" t="s">
        <v>412</v>
      </c>
      <c r="C1601" s="294" t="s">
        <v>627</v>
      </c>
      <c r="D1601" s="295" t="s">
        <v>1067</v>
      </c>
      <c r="E1601" s="296">
        <v>4</v>
      </c>
      <c r="F1601" s="294">
        <v>17.3</v>
      </c>
      <c r="G1601" s="308">
        <f t="shared" si="235"/>
        <v>14.36492365</v>
      </c>
      <c r="H1601" s="294">
        <v>140.5</v>
      </c>
      <c r="I1601" s="297"/>
      <c r="J1601" s="297"/>
      <c r="K1601" s="294">
        <f t="shared" si="220"/>
        <v>2.0848</v>
      </c>
      <c r="L1601" s="294">
        <f t="shared" si="221"/>
        <v>0.64833691220128331</v>
      </c>
      <c r="M1601" s="309">
        <f t="shared" si="239"/>
        <v>3.9646554978524655</v>
      </c>
      <c r="N1601" s="294">
        <v>0</v>
      </c>
      <c r="O1601" s="294" t="str">
        <f t="shared" si="230"/>
        <v/>
      </c>
      <c r="P1601" s="294"/>
    </row>
    <row r="1602" spans="1:16">
      <c r="A1602" s="294"/>
      <c r="B1602" s="294" t="s">
        <v>412</v>
      </c>
      <c r="C1602" s="294" t="s">
        <v>627</v>
      </c>
      <c r="D1602" s="295" t="s">
        <v>1067</v>
      </c>
      <c r="E1602" s="296">
        <v>5</v>
      </c>
      <c r="F1602" s="294">
        <v>20.3</v>
      </c>
      <c r="G1602" s="308">
        <f t="shared" si="235"/>
        <v>18.81232464</v>
      </c>
      <c r="H1602" s="294">
        <v>198.8</v>
      </c>
      <c r="I1602" s="297"/>
      <c r="J1602" s="297"/>
      <c r="K1602" s="294">
        <f t="shared" si="220"/>
        <v>2.0127999999999999</v>
      </c>
      <c r="L1602" s="294">
        <f t="shared" si="221"/>
        <v>0.6845562077113948</v>
      </c>
      <c r="M1602" s="309">
        <f t="shared" si="239"/>
        <v>5.4881000900653278</v>
      </c>
      <c r="N1602" s="294">
        <v>0</v>
      </c>
      <c r="O1602" s="294" t="str">
        <f t="shared" ref="O1602:O1665" si="240">IF(N1602*M1602=0,"",N1602*M1602)</f>
        <v/>
      </c>
      <c r="P1602" s="294"/>
    </row>
    <row r="1603" spans="1:16">
      <c r="A1603" s="294"/>
      <c r="B1603" s="294" t="s">
        <v>412</v>
      </c>
      <c r="C1603" s="294" t="s">
        <v>627</v>
      </c>
      <c r="D1603" s="295" t="s">
        <v>1067</v>
      </c>
      <c r="E1603" s="296">
        <v>6</v>
      </c>
      <c r="F1603" s="294">
        <v>21.8</v>
      </c>
      <c r="G1603" s="308">
        <f t="shared" si="235"/>
        <v>13.30170287</v>
      </c>
      <c r="H1603" s="294">
        <v>75.900000000000006</v>
      </c>
      <c r="I1603" s="297"/>
      <c r="J1603" s="297"/>
      <c r="K1603" s="294">
        <f t="shared" si="220"/>
        <v>1.9767999999999999</v>
      </c>
      <c r="L1603" s="294">
        <f t="shared" si="221"/>
        <v>0.70164698620294608</v>
      </c>
      <c r="M1603" s="309">
        <f t="shared" si="239"/>
        <v>4.1651192265534887</v>
      </c>
      <c r="N1603" s="294">
        <v>0</v>
      </c>
      <c r="O1603" s="294" t="str">
        <f t="shared" si="240"/>
        <v/>
      </c>
      <c r="P1603" s="294"/>
    </row>
    <row r="1604" spans="1:16">
      <c r="A1604" s="294"/>
      <c r="B1604" s="294" t="s">
        <v>412</v>
      </c>
      <c r="C1604" s="294" t="s">
        <v>627</v>
      </c>
      <c r="D1604" s="295" t="s">
        <v>1067</v>
      </c>
      <c r="E1604" s="296">
        <v>7</v>
      </c>
      <c r="F1604" s="294">
        <v>25.6</v>
      </c>
      <c r="G1604" s="308">
        <f t="shared" si="235"/>
        <v>15.1359715</v>
      </c>
      <c r="H1604" s="294">
        <v>125</v>
      </c>
      <c r="I1604" s="297"/>
      <c r="J1604" s="297"/>
      <c r="K1604" s="294">
        <f t="shared" si="220"/>
        <v>1.8855999999999999</v>
      </c>
      <c r="L1604" s="294">
        <f t="shared" si="221"/>
        <v>0.74169310776479802</v>
      </c>
      <c r="M1604" s="309">
        <f t="shared" si="239"/>
        <v>5.1374479685775949</v>
      </c>
      <c r="N1604" s="294">
        <v>1</v>
      </c>
      <c r="O1604" s="294">
        <f t="shared" si="240"/>
        <v>5.1374479685775949</v>
      </c>
      <c r="P1604" s="294"/>
    </row>
    <row r="1605" spans="1:16">
      <c r="A1605" s="294"/>
      <c r="B1605" s="294" t="s">
        <v>412</v>
      </c>
      <c r="C1605" s="294" t="s">
        <v>627</v>
      </c>
      <c r="D1605" s="295" t="s">
        <v>1067</v>
      </c>
      <c r="E1605" s="296">
        <v>8</v>
      </c>
      <c r="F1605" s="294">
        <v>27</v>
      </c>
      <c r="G1605" s="308">
        <f t="shared" si="235"/>
        <v>18.776750379999999</v>
      </c>
      <c r="H1605" s="294">
        <v>221.6</v>
      </c>
      <c r="I1605" s="297"/>
      <c r="J1605" s="297"/>
      <c r="K1605" s="294">
        <f t="shared" si="220"/>
        <v>1.8519999999999999</v>
      </c>
      <c r="L1605" s="294">
        <f t="shared" si="221"/>
        <v>0.75524020561421423</v>
      </c>
      <c r="M1605" s="309">
        <f t="shared" si="239"/>
        <v>6.481455145362335</v>
      </c>
      <c r="N1605" s="294">
        <v>1</v>
      </c>
      <c r="O1605" s="294">
        <f t="shared" si="240"/>
        <v>6.481455145362335</v>
      </c>
      <c r="P1605" s="294"/>
    </row>
    <row r="1606" spans="1:16">
      <c r="A1606" s="294"/>
      <c r="B1606" s="294" t="s">
        <v>412</v>
      </c>
      <c r="C1606" s="294" t="s">
        <v>627</v>
      </c>
      <c r="D1606" s="295" t="s">
        <v>1067</v>
      </c>
      <c r="E1606" s="296">
        <v>9</v>
      </c>
      <c r="F1606" s="294">
        <v>24.4</v>
      </c>
      <c r="G1606" s="308">
        <f t="shared" si="235"/>
        <v>15.459284950000001</v>
      </c>
      <c r="H1606" s="294">
        <v>187.5</v>
      </c>
      <c r="I1606" s="297"/>
      <c r="J1606" s="297"/>
      <c r="K1606" s="294">
        <f t="shared" si="220"/>
        <v>1.9144000000000001</v>
      </c>
      <c r="L1606" s="294">
        <f t="shared" si="221"/>
        <v>0.72956082949628098</v>
      </c>
      <c r="M1606" s="309">
        <f t="shared" si="239"/>
        <v>5.0883115466810187</v>
      </c>
      <c r="N1606" s="294">
        <v>0</v>
      </c>
      <c r="O1606" s="294" t="str">
        <f t="shared" si="240"/>
        <v/>
      </c>
      <c r="P1606" s="294"/>
    </row>
    <row r="1607" spans="1:16">
      <c r="A1607" s="294"/>
      <c r="B1607" s="294" t="s">
        <v>412</v>
      </c>
      <c r="C1607" s="294" t="s">
        <v>627</v>
      </c>
      <c r="D1607" s="295" t="s">
        <v>1067</v>
      </c>
      <c r="E1607" s="296">
        <v>10</v>
      </c>
      <c r="F1607" s="294">
        <v>20.5</v>
      </c>
      <c r="G1607" s="308">
        <f t="shared" si="235"/>
        <v>15.139190579999998</v>
      </c>
      <c r="H1607" s="294">
        <v>246.6</v>
      </c>
      <c r="I1607" s="297"/>
      <c r="J1607" s="297"/>
      <c r="K1607" s="294">
        <f t="shared" si="220"/>
        <v>2.008</v>
      </c>
      <c r="L1607" s="294">
        <f t="shared" si="221"/>
        <v>0.6868755481020804</v>
      </c>
      <c r="M1607" s="309">
        <f t="shared" si="239"/>
        <v>4.5259590258293976</v>
      </c>
      <c r="N1607" s="294">
        <v>0</v>
      </c>
      <c r="O1607" s="294" t="str">
        <f t="shared" si="240"/>
        <v/>
      </c>
      <c r="P1607" s="294"/>
    </row>
    <row r="1608" spans="1:16">
      <c r="A1608" s="294"/>
      <c r="B1608" s="294" t="s">
        <v>412</v>
      </c>
      <c r="C1608" s="294" t="s">
        <v>627</v>
      </c>
      <c r="D1608" s="295" t="s">
        <v>1067</v>
      </c>
      <c r="E1608" s="296">
        <v>11</v>
      </c>
      <c r="F1608" s="294">
        <v>17.8</v>
      </c>
      <c r="G1608" s="308">
        <f t="shared" si="235"/>
        <v>7.9877179799999993</v>
      </c>
      <c r="H1608" s="294">
        <v>118.6</v>
      </c>
      <c r="I1608" s="297"/>
      <c r="J1608" s="297"/>
      <c r="K1608" s="294">
        <f t="shared" si="220"/>
        <v>2.0728</v>
      </c>
      <c r="L1608" s="294">
        <f t="shared" si="221"/>
        <v>0.65455327559795284</v>
      </c>
      <c r="M1608" s="309">
        <f t="shared" si="239"/>
        <v>2.4301569461778039</v>
      </c>
      <c r="N1608" s="294">
        <v>0</v>
      </c>
      <c r="O1608" s="294" t="str">
        <f t="shared" si="240"/>
        <v/>
      </c>
      <c r="P1608" s="294"/>
    </row>
    <row r="1609" spans="1:16">
      <c r="A1609" s="294"/>
      <c r="B1609" s="294" t="s">
        <v>412</v>
      </c>
      <c r="C1609" s="294" t="s">
        <v>627</v>
      </c>
      <c r="D1609" s="295" t="s">
        <v>1067</v>
      </c>
      <c r="E1609" s="296">
        <v>12</v>
      </c>
      <c r="F1609" s="294">
        <v>12.3</v>
      </c>
      <c r="G1609" s="308">
        <f t="shared" si="235"/>
        <v>7.0293829400000005</v>
      </c>
      <c r="H1609" s="294">
        <v>125.8</v>
      </c>
      <c r="I1609" s="297"/>
      <c r="J1609" s="297"/>
      <c r="K1609" s="294">
        <f t="shared" si="220"/>
        <v>2.2048000000000001</v>
      </c>
      <c r="L1609" s="294">
        <f t="shared" si="221"/>
        <v>0.58274654668128933</v>
      </c>
      <c r="M1609" s="309">
        <f t="shared" si="239"/>
        <v>1.905901248139902</v>
      </c>
      <c r="N1609" s="294">
        <v>0</v>
      </c>
      <c r="O1609" s="294" t="str">
        <f t="shared" si="240"/>
        <v/>
      </c>
      <c r="P1609" s="294"/>
    </row>
    <row r="1610" spans="1:16">
      <c r="A1610" s="294">
        <v>135</v>
      </c>
      <c r="B1610" s="294" t="s">
        <v>419</v>
      </c>
      <c r="C1610" s="294" t="s">
        <v>419</v>
      </c>
      <c r="D1610" s="295" t="s">
        <v>1067</v>
      </c>
      <c r="E1610" s="296">
        <v>1</v>
      </c>
      <c r="F1610" s="294">
        <v>8.3000000000000007</v>
      </c>
      <c r="G1610" s="294">
        <v>11.2</v>
      </c>
      <c r="H1610" s="294"/>
      <c r="I1610" s="294">
        <v>0.78700000000000003</v>
      </c>
      <c r="J1610" s="294">
        <v>0.28999999999999998</v>
      </c>
      <c r="K1610" s="294">
        <f t="shared" si="220"/>
        <v>2.3008000000000002</v>
      </c>
      <c r="L1610" s="294">
        <f t="shared" si="221"/>
        <v>0.52686406241145922</v>
      </c>
      <c r="M1610" s="297">
        <f>$I$1610*L1610*(G1610/K1610)+$J$1610</f>
        <v>2.3084242836055138</v>
      </c>
      <c r="N1610" s="294">
        <v>0</v>
      </c>
      <c r="O1610" s="294" t="str">
        <f t="shared" si="240"/>
        <v/>
      </c>
      <c r="P1610" s="294">
        <f>AVERAGE(O1610:O1621)</f>
        <v>5.473766706829986</v>
      </c>
    </row>
    <row r="1611" spans="1:16">
      <c r="A1611" s="294"/>
      <c r="B1611" s="294" t="s">
        <v>419</v>
      </c>
      <c r="C1611" s="294" t="s">
        <v>419</v>
      </c>
      <c r="D1611" s="295" t="s">
        <v>1067</v>
      </c>
      <c r="E1611" s="296">
        <v>2</v>
      </c>
      <c r="F1611" s="294">
        <v>8</v>
      </c>
      <c r="G1611" s="294">
        <v>12.4</v>
      </c>
      <c r="H1611" s="294"/>
      <c r="I1611" s="294"/>
      <c r="J1611" s="294"/>
      <c r="K1611" s="294">
        <f t="shared" si="220"/>
        <v>2.3079999999999998</v>
      </c>
      <c r="L1611" s="294">
        <f t="shared" si="221"/>
        <v>0.52259463248663729</v>
      </c>
      <c r="M1611" s="297">
        <f t="shared" ref="M1611:M1621" si="241">$I$1610*L1611*(G1611/K1611)+$J$1610</f>
        <v>2.4996605283841409</v>
      </c>
      <c r="N1611" s="294">
        <v>0</v>
      </c>
      <c r="O1611" s="294" t="str">
        <f t="shared" si="240"/>
        <v/>
      </c>
      <c r="P1611" s="294"/>
    </row>
    <row r="1612" spans="1:16">
      <c r="A1612" s="294"/>
      <c r="B1612" s="294" t="s">
        <v>419</v>
      </c>
      <c r="C1612" s="294" t="s">
        <v>419</v>
      </c>
      <c r="D1612" s="295" t="s">
        <v>1067</v>
      </c>
      <c r="E1612" s="296">
        <v>3</v>
      </c>
      <c r="F1612" s="294">
        <v>12.1</v>
      </c>
      <c r="G1612" s="294">
        <v>14.9</v>
      </c>
      <c r="H1612" s="294"/>
      <c r="I1612" s="294"/>
      <c r="J1612" s="294"/>
      <c r="K1612" s="294">
        <f t="shared" si="220"/>
        <v>2.2096</v>
      </c>
      <c r="L1612" s="294">
        <f t="shared" si="221"/>
        <v>0.58001070845649794</v>
      </c>
      <c r="M1612" s="297">
        <f t="shared" si="241"/>
        <v>3.3681044399771145</v>
      </c>
      <c r="N1612" s="294">
        <v>0</v>
      </c>
      <c r="O1612" s="294" t="str">
        <f t="shared" si="240"/>
        <v/>
      </c>
      <c r="P1612" s="294"/>
    </row>
    <row r="1613" spans="1:16">
      <c r="A1613" s="294"/>
      <c r="B1613" s="294" t="s">
        <v>419</v>
      </c>
      <c r="C1613" s="294" t="s">
        <v>419</v>
      </c>
      <c r="D1613" s="295" t="s">
        <v>1067</v>
      </c>
      <c r="E1613" s="296">
        <v>4</v>
      </c>
      <c r="F1613" s="294">
        <v>17.899999999999999</v>
      </c>
      <c r="G1613" s="294">
        <v>14.7</v>
      </c>
      <c r="H1613" s="294"/>
      <c r="I1613" s="294"/>
      <c r="J1613" s="294"/>
      <c r="K1613" s="294">
        <f t="shared" si="220"/>
        <v>2.0704000000000002</v>
      </c>
      <c r="L1613" s="294">
        <f t="shared" si="221"/>
        <v>0.6557882102782896</v>
      </c>
      <c r="M1613" s="297">
        <f t="shared" si="241"/>
        <v>3.9543876670636124</v>
      </c>
      <c r="N1613" s="294">
        <v>0</v>
      </c>
      <c r="O1613" s="294" t="str">
        <f t="shared" si="240"/>
        <v/>
      </c>
      <c r="P1613" s="294"/>
    </row>
    <row r="1614" spans="1:16">
      <c r="A1614" s="294"/>
      <c r="B1614" s="294" t="s">
        <v>419</v>
      </c>
      <c r="C1614" s="294" t="s">
        <v>419</v>
      </c>
      <c r="D1614" s="295" t="s">
        <v>1067</v>
      </c>
      <c r="E1614" s="296">
        <v>5</v>
      </c>
      <c r="F1614" s="294">
        <v>20.6</v>
      </c>
      <c r="G1614" s="294">
        <v>17.7</v>
      </c>
      <c r="H1614" s="294"/>
      <c r="I1614" s="294"/>
      <c r="J1614" s="294"/>
      <c r="K1614" s="294">
        <f t="shared" si="220"/>
        <v>2.0055999999999998</v>
      </c>
      <c r="L1614" s="294">
        <f t="shared" si="221"/>
        <v>0.68803058654568494</v>
      </c>
      <c r="M1614" s="297">
        <f t="shared" si="241"/>
        <v>5.0687182227377034</v>
      </c>
      <c r="N1614" s="294">
        <v>0</v>
      </c>
      <c r="O1614" s="294" t="str">
        <f t="shared" si="240"/>
        <v/>
      </c>
      <c r="P1614" s="294"/>
    </row>
    <row r="1615" spans="1:16">
      <c r="A1615" s="294"/>
      <c r="B1615" s="294" t="s">
        <v>419</v>
      </c>
      <c r="C1615" s="294" t="s">
        <v>419</v>
      </c>
      <c r="D1615" s="295" t="s">
        <v>1067</v>
      </c>
      <c r="E1615" s="296">
        <v>6</v>
      </c>
      <c r="F1615" s="294">
        <v>21.8</v>
      </c>
      <c r="G1615" s="294">
        <v>10.1</v>
      </c>
      <c r="H1615" s="294"/>
      <c r="I1615" s="294"/>
      <c r="J1615" s="294"/>
      <c r="K1615" s="294">
        <f t="shared" si="220"/>
        <v>1.9767999999999999</v>
      </c>
      <c r="L1615" s="294">
        <f t="shared" si="221"/>
        <v>0.70164698620294608</v>
      </c>
      <c r="M1615" s="297">
        <f t="shared" si="241"/>
        <v>3.1113179882797235</v>
      </c>
      <c r="N1615" s="294">
        <v>0</v>
      </c>
      <c r="O1615" s="294" t="str">
        <f t="shared" si="240"/>
        <v/>
      </c>
      <c r="P1615" s="294"/>
    </row>
    <row r="1616" spans="1:16">
      <c r="A1616" s="294"/>
      <c r="B1616" s="294" t="s">
        <v>419</v>
      </c>
      <c r="C1616" s="294" t="s">
        <v>419</v>
      </c>
      <c r="D1616" s="295" t="s">
        <v>1067</v>
      </c>
      <c r="E1616" s="296">
        <v>7</v>
      </c>
      <c r="F1616" s="294">
        <v>25.7</v>
      </c>
      <c r="G1616" s="294">
        <v>14.8</v>
      </c>
      <c r="H1616" s="294"/>
      <c r="I1616" s="294"/>
      <c r="J1616" s="294"/>
      <c r="K1616" s="294">
        <f t="shared" si="220"/>
        <v>1.8832</v>
      </c>
      <c r="L1616" s="294">
        <f t="shared" si="221"/>
        <v>0.74268247605162208</v>
      </c>
      <c r="M1616" s="297">
        <f t="shared" si="241"/>
        <v>4.8834942693600647</v>
      </c>
      <c r="N1616" s="294">
        <v>1</v>
      </c>
      <c r="O1616" s="294">
        <f t="shared" si="240"/>
        <v>4.8834942693600647</v>
      </c>
      <c r="P1616" s="294"/>
    </row>
    <row r="1617" spans="1:16">
      <c r="A1617" s="294"/>
      <c r="B1617" s="294" t="s">
        <v>419</v>
      </c>
      <c r="C1617" s="294" t="s">
        <v>419</v>
      </c>
      <c r="D1617" s="295" t="s">
        <v>1067</v>
      </c>
      <c r="E1617" s="296">
        <v>8</v>
      </c>
      <c r="F1617" s="294">
        <v>27.2</v>
      </c>
      <c r="G1617" s="294">
        <v>17.899999999999999</v>
      </c>
      <c r="H1617" s="294"/>
      <c r="I1617" s="294"/>
      <c r="J1617" s="294"/>
      <c r="K1617" s="294">
        <f t="shared" si="220"/>
        <v>1.8472</v>
      </c>
      <c r="L1617" s="294">
        <f t="shared" si="221"/>
        <v>0.75712202532428419</v>
      </c>
      <c r="M1617" s="297">
        <f t="shared" si="241"/>
        <v>6.0640391442999073</v>
      </c>
      <c r="N1617" s="294">
        <v>1</v>
      </c>
      <c r="O1617" s="294">
        <f t="shared" si="240"/>
        <v>6.0640391442999073</v>
      </c>
      <c r="P1617" s="294"/>
    </row>
    <row r="1618" spans="1:16">
      <c r="A1618" s="294"/>
      <c r="B1618" s="294" t="s">
        <v>419</v>
      </c>
      <c r="C1618" s="294" t="s">
        <v>419</v>
      </c>
      <c r="D1618" s="295" t="s">
        <v>1067</v>
      </c>
      <c r="E1618" s="296">
        <v>9</v>
      </c>
      <c r="F1618" s="294">
        <v>23.7</v>
      </c>
      <c r="G1618" s="294">
        <v>14.6</v>
      </c>
      <c r="H1618" s="294"/>
      <c r="I1618" s="294"/>
      <c r="J1618" s="294"/>
      <c r="K1618" s="294">
        <f t="shared" si="220"/>
        <v>1.9312</v>
      </c>
      <c r="L1618" s="294">
        <f t="shared" si="221"/>
        <v>0.72226310522658388</v>
      </c>
      <c r="M1618" s="297">
        <f t="shared" si="241"/>
        <v>4.587300917395658</v>
      </c>
      <c r="N1618" s="294">
        <v>0</v>
      </c>
      <c r="O1618" s="294" t="str">
        <f t="shared" si="240"/>
        <v/>
      </c>
      <c r="P1618" s="294"/>
    </row>
    <row r="1619" spans="1:16">
      <c r="A1619" s="294"/>
      <c r="B1619" s="294" t="s">
        <v>419</v>
      </c>
      <c r="C1619" s="294" t="s">
        <v>419</v>
      </c>
      <c r="D1619" s="295" t="s">
        <v>1067</v>
      </c>
      <c r="E1619" s="296">
        <v>10</v>
      </c>
      <c r="F1619" s="294">
        <v>19</v>
      </c>
      <c r="G1619" s="294">
        <v>15.6</v>
      </c>
      <c r="H1619" s="294"/>
      <c r="I1619" s="294"/>
      <c r="J1619" s="294"/>
      <c r="K1619" s="294">
        <f t="shared" si="220"/>
        <v>2.044</v>
      </c>
      <c r="L1619" s="294">
        <f t="shared" si="221"/>
        <v>0.66918429216402076</v>
      </c>
      <c r="M1619" s="297">
        <f t="shared" si="241"/>
        <v>4.3094272953797041</v>
      </c>
      <c r="N1619" s="294">
        <v>0</v>
      </c>
      <c r="O1619" s="294" t="str">
        <f t="shared" si="240"/>
        <v/>
      </c>
      <c r="P1619" s="294"/>
    </row>
    <row r="1620" spans="1:16">
      <c r="A1620" s="294"/>
      <c r="B1620" s="294" t="s">
        <v>419</v>
      </c>
      <c r="C1620" s="294" t="s">
        <v>419</v>
      </c>
      <c r="D1620" s="295" t="s">
        <v>1067</v>
      </c>
      <c r="E1620" s="296">
        <v>11</v>
      </c>
      <c r="F1620" s="294">
        <v>16.899999999999999</v>
      </c>
      <c r="G1620" s="294">
        <v>8.4</v>
      </c>
      <c r="H1620" s="294"/>
      <c r="I1620" s="294"/>
      <c r="J1620" s="294"/>
      <c r="K1620" s="294">
        <f t="shared" si="220"/>
        <v>2.0944000000000003</v>
      </c>
      <c r="L1620" s="294">
        <f t="shared" si="221"/>
        <v>0.64331460843064392</v>
      </c>
      <c r="M1620" s="297">
        <f t="shared" si="241"/>
        <v>2.3205692386427144</v>
      </c>
      <c r="N1620" s="294">
        <v>0</v>
      </c>
      <c r="O1620" s="294" t="str">
        <f t="shared" si="240"/>
        <v/>
      </c>
      <c r="P1620" s="294"/>
    </row>
    <row r="1621" spans="1:16">
      <c r="A1621" s="294"/>
      <c r="B1621" s="294" t="s">
        <v>419</v>
      </c>
      <c r="C1621" s="294" t="s">
        <v>419</v>
      </c>
      <c r="D1621" s="295" t="s">
        <v>1067</v>
      </c>
      <c r="E1621" s="296">
        <v>12</v>
      </c>
      <c r="F1621" s="294">
        <v>11.4</v>
      </c>
      <c r="G1621" s="294">
        <v>9.3000000000000007</v>
      </c>
      <c r="H1621" s="294"/>
      <c r="I1621" s="294"/>
      <c r="J1621" s="294"/>
      <c r="K1621" s="294">
        <f t="shared" si="220"/>
        <v>2.2263999999999999</v>
      </c>
      <c r="L1621" s="294">
        <f t="shared" si="221"/>
        <v>0.57037959366923263</v>
      </c>
      <c r="M1621" s="297">
        <f t="shared" si="241"/>
        <v>2.1650742382431196</v>
      </c>
      <c r="N1621" s="294">
        <v>0</v>
      </c>
      <c r="O1621" s="294" t="str">
        <f t="shared" si="240"/>
        <v/>
      </c>
      <c r="P1621" s="294"/>
    </row>
    <row r="1622" spans="1:16">
      <c r="A1622" s="294">
        <v>136</v>
      </c>
      <c r="B1622" s="294" t="s">
        <v>628</v>
      </c>
      <c r="C1622" s="294" t="s">
        <v>418</v>
      </c>
      <c r="D1622" s="295" t="s">
        <v>1067</v>
      </c>
      <c r="E1622" s="296">
        <v>1</v>
      </c>
      <c r="F1622" s="294">
        <v>7.3</v>
      </c>
      <c r="G1622" s="308">
        <f t="shared" ref="G1622:G1657" si="242">$T$11+$T$12*H1622+INDEX($T$13:$T$24,MATCH(E1622,$S$13:$S$24,0),1)</f>
        <v>11.117192589999998</v>
      </c>
      <c r="H1622" s="294">
        <v>200.3</v>
      </c>
      <c r="I1622" s="306">
        <v>0.67600000000000005</v>
      </c>
      <c r="J1622" s="307">
        <v>0.67</v>
      </c>
      <c r="K1622" s="294">
        <f t="shared" si="220"/>
        <v>2.3248000000000002</v>
      </c>
      <c r="L1622" s="294">
        <f t="shared" si="221"/>
        <v>0.5126044692087397</v>
      </c>
      <c r="M1622" s="309">
        <f>$I$1622*L1622*(G1622/K1622)+$J$1622</f>
        <v>2.3270614599626978</v>
      </c>
      <c r="N1622" s="294">
        <v>0</v>
      </c>
      <c r="O1622" s="294" t="str">
        <f t="shared" si="240"/>
        <v/>
      </c>
      <c r="P1622" s="294">
        <f>AVERAGE(O1622:O1633)</f>
        <v>5.0374474087778331</v>
      </c>
    </row>
    <row r="1623" spans="1:16">
      <c r="A1623" s="294"/>
      <c r="B1623" s="294" t="s">
        <v>628</v>
      </c>
      <c r="C1623" s="294" t="s">
        <v>418</v>
      </c>
      <c r="D1623" s="295" t="s">
        <v>1067</v>
      </c>
      <c r="E1623" s="296">
        <v>2</v>
      </c>
      <c r="F1623" s="294">
        <v>7.5</v>
      </c>
      <c r="G1623" s="308">
        <f t="shared" si="242"/>
        <v>12.467729839999999</v>
      </c>
      <c r="H1623" s="294">
        <v>176.8</v>
      </c>
      <c r="I1623" s="297"/>
      <c r="J1623" s="297"/>
      <c r="K1623" s="294">
        <f t="shared" si="220"/>
        <v>2.3199999999999998</v>
      </c>
      <c r="L1623" s="294">
        <f t="shared" si="221"/>
        <v>0.51546248616696222</v>
      </c>
      <c r="M1623" s="309">
        <f t="shared" ref="M1623:M1633" si="243">$I$1622*L1623*(G1623/K1623)+$J$1622</f>
        <v>2.5425919765709781</v>
      </c>
      <c r="N1623" s="294">
        <v>0</v>
      </c>
      <c r="O1623" s="294" t="str">
        <f t="shared" si="240"/>
        <v/>
      </c>
      <c r="P1623" s="294"/>
    </row>
    <row r="1624" spans="1:16">
      <c r="A1624" s="294"/>
      <c r="B1624" s="294" t="s">
        <v>628</v>
      </c>
      <c r="C1624" s="294" t="s">
        <v>418</v>
      </c>
      <c r="D1624" s="295" t="s">
        <v>1067</v>
      </c>
      <c r="E1624" s="296">
        <v>3</v>
      </c>
      <c r="F1624" s="294">
        <v>11.1</v>
      </c>
      <c r="G1624" s="308">
        <f t="shared" si="242"/>
        <v>14.496331850000001</v>
      </c>
      <c r="H1624" s="294">
        <v>185.5</v>
      </c>
      <c r="I1624" s="297"/>
      <c r="J1624" s="297"/>
      <c r="K1624" s="294">
        <f t="shared" si="220"/>
        <v>2.2336</v>
      </c>
      <c r="L1624" s="294">
        <f t="shared" si="221"/>
        <v>0.566226770414756</v>
      </c>
      <c r="M1624" s="309">
        <f t="shared" si="243"/>
        <v>3.1542186373609331</v>
      </c>
      <c r="N1624" s="294">
        <v>0</v>
      </c>
      <c r="O1624" s="294" t="str">
        <f t="shared" si="240"/>
        <v/>
      </c>
      <c r="P1624" s="294"/>
    </row>
    <row r="1625" spans="1:16">
      <c r="A1625" s="294"/>
      <c r="B1625" s="294" t="s">
        <v>628</v>
      </c>
      <c r="C1625" s="294" t="s">
        <v>418</v>
      </c>
      <c r="D1625" s="295" t="s">
        <v>1067</v>
      </c>
      <c r="E1625" s="296">
        <v>4</v>
      </c>
      <c r="F1625" s="294">
        <v>16.8</v>
      </c>
      <c r="G1625" s="308">
        <f t="shared" si="242"/>
        <v>14.191950309999999</v>
      </c>
      <c r="H1625" s="294">
        <v>136.69999999999999</v>
      </c>
      <c r="I1625" s="297"/>
      <c r="J1625" s="297"/>
      <c r="K1625" s="294">
        <f t="shared" si="220"/>
        <v>2.0968</v>
      </c>
      <c r="L1625" s="294">
        <f t="shared" si="221"/>
        <v>0.64205231419896891</v>
      </c>
      <c r="M1625" s="309">
        <f t="shared" si="243"/>
        <v>3.6076644356752277</v>
      </c>
      <c r="N1625" s="294">
        <v>0</v>
      </c>
      <c r="O1625" s="294" t="str">
        <f t="shared" si="240"/>
        <v/>
      </c>
      <c r="P1625" s="294"/>
    </row>
    <row r="1626" spans="1:16">
      <c r="A1626" s="294"/>
      <c r="B1626" s="294" t="s">
        <v>628</v>
      </c>
      <c r="C1626" s="294" t="s">
        <v>418</v>
      </c>
      <c r="D1626" s="295" t="s">
        <v>1067</v>
      </c>
      <c r="E1626" s="296">
        <v>5</v>
      </c>
      <c r="F1626" s="294">
        <v>19.899999999999999</v>
      </c>
      <c r="G1626" s="308">
        <f t="shared" si="242"/>
        <v>18.716734110000001</v>
      </c>
      <c r="H1626" s="294">
        <v>196.7</v>
      </c>
      <c r="I1626" s="297"/>
      <c r="J1626" s="297"/>
      <c r="K1626" s="294">
        <f t="shared" si="220"/>
        <v>2.0224000000000002</v>
      </c>
      <c r="L1626" s="294">
        <f t="shared" si="221"/>
        <v>0.67988072455324944</v>
      </c>
      <c r="M1626" s="309">
        <f t="shared" si="243"/>
        <v>4.9234608394148873</v>
      </c>
      <c r="N1626" s="294">
        <v>0</v>
      </c>
      <c r="O1626" s="294" t="str">
        <f t="shared" si="240"/>
        <v/>
      </c>
      <c r="P1626" s="294"/>
    </row>
    <row r="1627" spans="1:16">
      <c r="A1627" s="294"/>
      <c r="B1627" s="294" t="s">
        <v>628</v>
      </c>
      <c r="C1627" s="294" t="s">
        <v>418</v>
      </c>
      <c r="D1627" s="295" t="s">
        <v>1067</v>
      </c>
      <c r="E1627" s="296">
        <v>6</v>
      </c>
      <c r="F1627" s="294">
        <v>21.2</v>
      </c>
      <c r="G1627" s="308">
        <f t="shared" si="242"/>
        <v>13.41550112</v>
      </c>
      <c r="H1627" s="294">
        <v>78.400000000000006</v>
      </c>
      <c r="I1627" s="297"/>
      <c r="J1627" s="297"/>
      <c r="K1627" s="294">
        <f t="shared" si="220"/>
        <v>1.9912000000000001</v>
      </c>
      <c r="L1627" s="294">
        <f t="shared" si="221"/>
        <v>0.69489543911089335</v>
      </c>
      <c r="M1627" s="309">
        <f t="shared" si="243"/>
        <v>3.8348867447631352</v>
      </c>
      <c r="N1627" s="294">
        <v>0</v>
      </c>
      <c r="O1627" s="294" t="str">
        <f t="shared" si="240"/>
        <v/>
      </c>
      <c r="P1627" s="294"/>
    </row>
    <row r="1628" spans="1:16">
      <c r="A1628" s="294"/>
      <c r="B1628" s="294" t="s">
        <v>628</v>
      </c>
      <c r="C1628" s="294" t="s">
        <v>418</v>
      </c>
      <c r="D1628" s="295" t="s">
        <v>1067</v>
      </c>
      <c r="E1628" s="296">
        <v>7</v>
      </c>
      <c r="F1628" s="294">
        <v>25.2</v>
      </c>
      <c r="G1628" s="308">
        <f t="shared" si="242"/>
        <v>14.63070727</v>
      </c>
      <c r="H1628" s="294">
        <v>113.9</v>
      </c>
      <c r="I1628" s="297"/>
      <c r="J1628" s="297"/>
      <c r="K1628" s="294">
        <f t="shared" si="220"/>
        <v>1.8952</v>
      </c>
      <c r="L1628" s="294">
        <f t="shared" si="221"/>
        <v>0.73770227369576269</v>
      </c>
      <c r="M1628" s="309">
        <f t="shared" si="243"/>
        <v>4.5197993186717715</v>
      </c>
      <c r="N1628" s="294">
        <v>1</v>
      </c>
      <c r="O1628" s="294">
        <f t="shared" si="240"/>
        <v>4.5197993186717715</v>
      </c>
      <c r="P1628" s="294"/>
    </row>
    <row r="1629" spans="1:16">
      <c r="A1629" s="294"/>
      <c r="B1629" s="294" t="s">
        <v>628</v>
      </c>
      <c r="C1629" s="294" t="s">
        <v>418</v>
      </c>
      <c r="D1629" s="295" t="s">
        <v>1067</v>
      </c>
      <c r="E1629" s="296">
        <v>8</v>
      </c>
      <c r="F1629" s="294">
        <v>26.6</v>
      </c>
      <c r="G1629" s="308">
        <f t="shared" si="242"/>
        <v>17.902779820000003</v>
      </c>
      <c r="H1629" s="294">
        <v>202.4</v>
      </c>
      <c r="I1629" s="297"/>
      <c r="J1629" s="297"/>
      <c r="K1629" s="294">
        <f t="shared" si="220"/>
        <v>1.8615999999999999</v>
      </c>
      <c r="L1629" s="294">
        <f t="shared" si="221"/>
        <v>0.75143645769154999</v>
      </c>
      <c r="M1629" s="309">
        <f t="shared" si="243"/>
        <v>5.5550954988838939</v>
      </c>
      <c r="N1629" s="294">
        <v>1</v>
      </c>
      <c r="O1629" s="294">
        <f t="shared" si="240"/>
        <v>5.5550954988838939</v>
      </c>
      <c r="P1629" s="294"/>
    </row>
    <row r="1630" spans="1:16">
      <c r="A1630" s="294"/>
      <c r="B1630" s="294" t="s">
        <v>628</v>
      </c>
      <c r="C1630" s="294" t="s">
        <v>418</v>
      </c>
      <c r="D1630" s="295" t="s">
        <v>1067</v>
      </c>
      <c r="E1630" s="296">
        <v>9</v>
      </c>
      <c r="F1630" s="294">
        <v>23.2</v>
      </c>
      <c r="G1630" s="308">
        <f t="shared" si="242"/>
        <v>14.60352211</v>
      </c>
      <c r="H1630" s="294">
        <v>168.7</v>
      </c>
      <c r="I1630" s="297"/>
      <c r="J1630" s="297"/>
      <c r="K1630" s="294">
        <f t="shared" si="220"/>
        <v>1.9432</v>
      </c>
      <c r="L1630" s="294">
        <f t="shared" si="221"/>
        <v>0.71695168352445504</v>
      </c>
      <c r="M1630" s="309">
        <f t="shared" si="243"/>
        <v>4.3123082334366742</v>
      </c>
      <c r="N1630" s="294">
        <v>0</v>
      </c>
      <c r="O1630" s="294" t="str">
        <f t="shared" si="240"/>
        <v/>
      </c>
      <c r="P1630" s="294"/>
    </row>
    <row r="1631" spans="1:16">
      <c r="A1631" s="294"/>
      <c r="B1631" s="294" t="s">
        <v>628</v>
      </c>
      <c r="C1631" s="294" t="s">
        <v>418</v>
      </c>
      <c r="D1631" s="295" t="s">
        <v>1067</v>
      </c>
      <c r="E1631" s="296">
        <v>10</v>
      </c>
      <c r="F1631" s="294">
        <v>18.2</v>
      </c>
      <c r="G1631" s="308">
        <f t="shared" si="242"/>
        <v>15.394098659999997</v>
      </c>
      <c r="H1631" s="294">
        <v>252.2</v>
      </c>
      <c r="I1631" s="297"/>
      <c r="J1631" s="297"/>
      <c r="K1631" s="294">
        <f t="shared" si="220"/>
        <v>2.0632000000000001</v>
      </c>
      <c r="L1631" s="294">
        <f t="shared" si="221"/>
        <v>0.65947610324529615</v>
      </c>
      <c r="M1631" s="309">
        <f t="shared" si="243"/>
        <v>3.996279165061464</v>
      </c>
      <c r="N1631" s="294">
        <v>0</v>
      </c>
      <c r="O1631" s="294" t="str">
        <f t="shared" si="240"/>
        <v/>
      </c>
      <c r="P1631" s="294"/>
    </row>
    <row r="1632" spans="1:16">
      <c r="A1632" s="294"/>
      <c r="B1632" s="294" t="s">
        <v>628</v>
      </c>
      <c r="C1632" s="294" t="s">
        <v>418</v>
      </c>
      <c r="D1632" s="295" t="s">
        <v>1067</v>
      </c>
      <c r="E1632" s="296">
        <v>11</v>
      </c>
      <c r="F1632" s="294">
        <v>15.9</v>
      </c>
      <c r="G1632" s="308">
        <f t="shared" si="242"/>
        <v>8.2972492200000012</v>
      </c>
      <c r="H1632" s="294">
        <v>125.4</v>
      </c>
      <c r="I1632" s="297"/>
      <c r="J1632" s="297"/>
      <c r="K1632" s="294">
        <f t="shared" si="220"/>
        <v>2.1183999999999998</v>
      </c>
      <c r="L1632" s="294">
        <f t="shared" si="221"/>
        <v>0.63057384037924924</v>
      </c>
      <c r="M1632" s="309">
        <f t="shared" si="243"/>
        <v>2.3395860717247228</v>
      </c>
      <c r="N1632" s="294">
        <v>0</v>
      </c>
      <c r="O1632" s="294" t="str">
        <f t="shared" si="240"/>
        <v/>
      </c>
      <c r="P1632" s="294"/>
    </row>
    <row r="1633" spans="1:16">
      <c r="A1633" s="294"/>
      <c r="B1633" s="294" t="s">
        <v>628</v>
      </c>
      <c r="C1633" s="294" t="s">
        <v>418</v>
      </c>
      <c r="D1633" s="295" t="s">
        <v>1067</v>
      </c>
      <c r="E1633" s="296">
        <v>12</v>
      </c>
      <c r="F1633" s="294">
        <v>10.4</v>
      </c>
      <c r="G1633" s="308">
        <f t="shared" si="242"/>
        <v>9.3963865400000017</v>
      </c>
      <c r="H1633" s="294">
        <v>177.8</v>
      </c>
      <c r="I1633" s="297"/>
      <c r="J1633" s="297"/>
      <c r="K1633" s="294">
        <f t="shared" si="220"/>
        <v>2.2504</v>
      </c>
      <c r="L1633" s="294">
        <f t="shared" si="221"/>
        <v>0.55648248816913681</v>
      </c>
      <c r="M1633" s="309">
        <f t="shared" si="243"/>
        <v>2.2407220954616314</v>
      </c>
      <c r="N1633" s="294">
        <v>0</v>
      </c>
      <c r="O1633" s="294" t="str">
        <f t="shared" si="240"/>
        <v/>
      </c>
      <c r="P1633" s="294"/>
    </row>
    <row r="1634" spans="1:16">
      <c r="A1634" s="294">
        <v>137</v>
      </c>
      <c r="B1634" s="294" t="s">
        <v>628</v>
      </c>
      <c r="C1634" s="294" t="s">
        <v>629</v>
      </c>
      <c r="D1634" s="295" t="s">
        <v>1067</v>
      </c>
      <c r="E1634" s="296">
        <v>1</v>
      </c>
      <c r="F1634" s="294">
        <v>6.6</v>
      </c>
      <c r="G1634" s="308">
        <f t="shared" si="242"/>
        <v>10.693863099999998</v>
      </c>
      <c r="H1634" s="294">
        <v>191</v>
      </c>
      <c r="I1634" s="306">
        <v>0.83499999999999996</v>
      </c>
      <c r="J1634" s="307">
        <v>0.28000000000000003</v>
      </c>
      <c r="K1634" s="294">
        <f t="shared" si="220"/>
        <v>2.3416000000000001</v>
      </c>
      <c r="L1634" s="294">
        <f t="shared" si="221"/>
        <v>0.5025819590057089</v>
      </c>
      <c r="M1634" s="309">
        <f>$I$1634*L1634*(G1634/K1634)+$J$1634</f>
        <v>2.1965284959960192</v>
      </c>
      <c r="N1634" s="294">
        <v>0</v>
      </c>
      <c r="O1634" s="294" t="str">
        <f t="shared" si="240"/>
        <v/>
      </c>
      <c r="P1634" s="294">
        <f>AVERAGE(O1634:O1645)</f>
        <v>5.5955559416768814</v>
      </c>
    </row>
    <row r="1635" spans="1:16">
      <c r="A1635" s="294"/>
      <c r="B1635" s="294" t="s">
        <v>628</v>
      </c>
      <c r="C1635" s="294" t="s">
        <v>629</v>
      </c>
      <c r="D1635" s="295" t="s">
        <v>1067</v>
      </c>
      <c r="E1635" s="296">
        <v>2</v>
      </c>
      <c r="F1635" s="294">
        <v>6.8</v>
      </c>
      <c r="G1635" s="308">
        <f t="shared" si="242"/>
        <v>11.229604879999998</v>
      </c>
      <c r="H1635" s="294">
        <v>149.6</v>
      </c>
      <c r="I1635" s="297"/>
      <c r="J1635" s="297"/>
      <c r="K1635" s="294">
        <f t="shared" si="220"/>
        <v>2.3368000000000002</v>
      </c>
      <c r="L1635" s="294">
        <f t="shared" si="221"/>
        <v>0.50544832057472966</v>
      </c>
      <c r="M1635" s="309">
        <f t="shared" ref="M1635:M1645" si="244">$I$1634*L1635*(G1635/K1635)+$J$1634</f>
        <v>2.308178455283727</v>
      </c>
      <c r="N1635" s="294">
        <v>0</v>
      </c>
      <c r="O1635" s="294" t="str">
        <f t="shared" si="240"/>
        <v/>
      </c>
      <c r="P1635" s="294"/>
    </row>
    <row r="1636" spans="1:16">
      <c r="A1636" s="294"/>
      <c r="B1636" s="294" t="s">
        <v>628</v>
      </c>
      <c r="C1636" s="294" t="s">
        <v>629</v>
      </c>
      <c r="D1636" s="295" t="s">
        <v>1067</v>
      </c>
      <c r="E1636" s="296">
        <v>3</v>
      </c>
      <c r="F1636" s="294">
        <v>11.3</v>
      </c>
      <c r="G1636" s="308">
        <f t="shared" si="242"/>
        <v>13.968307970000001</v>
      </c>
      <c r="H1636" s="294">
        <v>173.9</v>
      </c>
      <c r="I1636" s="297"/>
      <c r="J1636" s="297"/>
      <c r="K1636" s="294">
        <f t="shared" si="220"/>
        <v>2.2288000000000001</v>
      </c>
      <c r="L1636" s="294">
        <f t="shared" si="221"/>
        <v>0.56899694033307113</v>
      </c>
      <c r="M1636" s="309">
        <f t="shared" si="244"/>
        <v>3.2576188777044344</v>
      </c>
      <c r="N1636" s="294">
        <v>0</v>
      </c>
      <c r="O1636" s="294" t="str">
        <f t="shared" si="240"/>
        <v/>
      </c>
      <c r="P1636" s="294"/>
    </row>
    <row r="1637" spans="1:16">
      <c r="A1637" s="294"/>
      <c r="B1637" s="294" t="s">
        <v>628</v>
      </c>
      <c r="C1637" s="294" t="s">
        <v>629</v>
      </c>
      <c r="D1637" s="295" t="s">
        <v>1067</v>
      </c>
      <c r="E1637" s="296">
        <v>4</v>
      </c>
      <c r="F1637" s="294">
        <v>17.600000000000001</v>
      </c>
      <c r="G1637" s="308">
        <f t="shared" si="242"/>
        <v>13.34984326</v>
      </c>
      <c r="H1637" s="294">
        <v>118.2</v>
      </c>
      <c r="I1637" s="297"/>
      <c r="J1637" s="297"/>
      <c r="K1637" s="294">
        <f t="shared" si="220"/>
        <v>2.0775999999999999</v>
      </c>
      <c r="L1637" s="294">
        <f t="shared" si="221"/>
        <v>0.65207502833419961</v>
      </c>
      <c r="M1637" s="309">
        <f t="shared" si="244"/>
        <v>3.7786320838409972</v>
      </c>
      <c r="N1637" s="294">
        <v>0</v>
      </c>
      <c r="O1637" s="294" t="str">
        <f t="shared" si="240"/>
        <v/>
      </c>
      <c r="P1637" s="294"/>
    </row>
    <row r="1638" spans="1:16">
      <c r="A1638" s="294"/>
      <c r="B1638" s="294" t="s">
        <v>628</v>
      </c>
      <c r="C1638" s="294" t="s">
        <v>629</v>
      </c>
      <c r="D1638" s="295" t="s">
        <v>1067</v>
      </c>
      <c r="E1638" s="296">
        <v>5</v>
      </c>
      <c r="F1638" s="294">
        <v>20.100000000000001</v>
      </c>
      <c r="G1638" s="308">
        <f t="shared" si="242"/>
        <v>17.246460720000002</v>
      </c>
      <c r="H1638" s="294">
        <v>164.4</v>
      </c>
      <c r="I1638" s="297"/>
      <c r="J1638" s="297"/>
      <c r="K1638" s="294">
        <f t="shared" si="220"/>
        <v>2.0175999999999998</v>
      </c>
      <c r="L1638" s="294">
        <f t="shared" si="221"/>
        <v>0.68222457536345948</v>
      </c>
      <c r="M1638" s="309">
        <f t="shared" si="244"/>
        <v>5.1494369795413011</v>
      </c>
      <c r="N1638" s="294">
        <v>0</v>
      </c>
      <c r="O1638" s="294" t="str">
        <f t="shared" si="240"/>
        <v/>
      </c>
      <c r="P1638" s="294"/>
    </row>
    <row r="1639" spans="1:16">
      <c r="A1639" s="294"/>
      <c r="B1639" s="294" t="s">
        <v>628</v>
      </c>
      <c r="C1639" s="294" t="s">
        <v>629</v>
      </c>
      <c r="D1639" s="295" t="s">
        <v>1067</v>
      </c>
      <c r="E1639" s="296">
        <v>6</v>
      </c>
      <c r="F1639" s="294">
        <v>21.5</v>
      </c>
      <c r="G1639" s="308">
        <f t="shared" si="242"/>
        <v>12.60070565</v>
      </c>
      <c r="H1639" s="294">
        <v>60.5</v>
      </c>
      <c r="I1639" s="297"/>
      <c r="J1639" s="297"/>
      <c r="K1639" s="294">
        <f t="shared" si="220"/>
        <v>1.984</v>
      </c>
      <c r="L1639" s="294">
        <f t="shared" si="221"/>
        <v>0.69828547686607079</v>
      </c>
      <c r="M1639" s="309">
        <f t="shared" si="244"/>
        <v>3.9831617662829979</v>
      </c>
      <c r="N1639" s="294">
        <v>0</v>
      </c>
      <c r="O1639" s="294" t="str">
        <f t="shared" si="240"/>
        <v/>
      </c>
      <c r="P1639" s="294"/>
    </row>
    <row r="1640" spans="1:16">
      <c r="A1640" s="294"/>
      <c r="B1640" s="294" t="s">
        <v>628</v>
      </c>
      <c r="C1640" s="294" t="s">
        <v>629</v>
      </c>
      <c r="D1640" s="295" t="s">
        <v>1067</v>
      </c>
      <c r="E1640" s="296">
        <v>7</v>
      </c>
      <c r="F1640" s="294">
        <v>25.3</v>
      </c>
      <c r="G1640" s="308">
        <f t="shared" si="242"/>
        <v>15.02672518</v>
      </c>
      <c r="H1640" s="294">
        <v>122.6</v>
      </c>
      <c r="I1640" s="297"/>
      <c r="J1640" s="297"/>
      <c r="K1640" s="294">
        <f t="shared" si="220"/>
        <v>1.8927999999999998</v>
      </c>
      <c r="L1640" s="294">
        <f t="shared" si="221"/>
        <v>0.7387049835222731</v>
      </c>
      <c r="M1640" s="309">
        <f t="shared" si="244"/>
        <v>5.1768536075472831</v>
      </c>
      <c r="N1640" s="294">
        <v>1</v>
      </c>
      <c r="O1640" s="294">
        <f t="shared" si="240"/>
        <v>5.1768536075472831</v>
      </c>
      <c r="P1640" s="294"/>
    </row>
    <row r="1641" spans="1:16">
      <c r="A1641" s="294"/>
      <c r="B1641" s="294" t="s">
        <v>628</v>
      </c>
      <c r="C1641" s="294" t="s">
        <v>629</v>
      </c>
      <c r="D1641" s="295" t="s">
        <v>1067</v>
      </c>
      <c r="E1641" s="296">
        <v>8</v>
      </c>
      <c r="F1641" s="294">
        <v>26.7</v>
      </c>
      <c r="G1641" s="308">
        <f t="shared" si="242"/>
        <v>16.969634170000003</v>
      </c>
      <c r="H1641" s="294">
        <v>181.9</v>
      </c>
      <c r="I1641" s="297"/>
      <c r="J1641" s="297"/>
      <c r="K1641" s="294">
        <f t="shared" si="220"/>
        <v>1.8592</v>
      </c>
      <c r="L1641" s="294">
        <f t="shared" si="221"/>
        <v>0.75239240916315608</v>
      </c>
      <c r="M1641" s="309">
        <f t="shared" si="244"/>
        <v>6.0142582758064789</v>
      </c>
      <c r="N1641" s="294">
        <v>1</v>
      </c>
      <c r="O1641" s="294">
        <f t="shared" si="240"/>
        <v>6.0142582758064789</v>
      </c>
      <c r="P1641" s="294"/>
    </row>
    <row r="1642" spans="1:16">
      <c r="A1642" s="294"/>
      <c r="B1642" s="294" t="s">
        <v>628</v>
      </c>
      <c r="C1642" s="294" t="s">
        <v>629</v>
      </c>
      <c r="D1642" s="295" t="s">
        <v>1067</v>
      </c>
      <c r="E1642" s="296">
        <v>9</v>
      </c>
      <c r="F1642" s="294">
        <v>23.3</v>
      </c>
      <c r="G1642" s="308">
        <f t="shared" si="242"/>
        <v>13.547474349999998</v>
      </c>
      <c r="H1642" s="294">
        <v>145.5</v>
      </c>
      <c r="I1642" s="297"/>
      <c r="J1642" s="297"/>
      <c r="K1642" s="294">
        <f t="shared" si="220"/>
        <v>1.9407999999999999</v>
      </c>
      <c r="L1642" s="294">
        <f t="shared" si="221"/>
        <v>0.71802052338175526</v>
      </c>
      <c r="M1642" s="309">
        <f t="shared" si="244"/>
        <v>4.4650522776408694</v>
      </c>
      <c r="N1642" s="294">
        <v>0</v>
      </c>
      <c r="O1642" s="294" t="str">
        <f t="shared" si="240"/>
        <v/>
      </c>
      <c r="P1642" s="294"/>
    </row>
    <row r="1643" spans="1:16">
      <c r="A1643" s="294"/>
      <c r="B1643" s="294" t="s">
        <v>628</v>
      </c>
      <c r="C1643" s="294" t="s">
        <v>629</v>
      </c>
      <c r="D1643" s="295" t="s">
        <v>1067</v>
      </c>
      <c r="E1643" s="296">
        <v>10</v>
      </c>
      <c r="F1643" s="294">
        <v>18.100000000000001</v>
      </c>
      <c r="G1643" s="308">
        <f t="shared" si="242"/>
        <v>15.043600050000002</v>
      </c>
      <c r="H1643" s="294">
        <v>244.5</v>
      </c>
      <c r="I1643" s="297"/>
      <c r="J1643" s="297"/>
      <c r="K1643" s="294">
        <f t="shared" si="220"/>
        <v>2.0655999999999999</v>
      </c>
      <c r="L1643" s="294">
        <f t="shared" si="221"/>
        <v>0.65824963683932147</v>
      </c>
      <c r="M1643" s="309">
        <f t="shared" si="244"/>
        <v>4.2829729691969396</v>
      </c>
      <c r="N1643" s="294">
        <v>0</v>
      </c>
      <c r="O1643" s="294" t="str">
        <f t="shared" si="240"/>
        <v/>
      </c>
      <c r="P1643" s="294"/>
    </row>
    <row r="1644" spans="1:16">
      <c r="A1644" s="294"/>
      <c r="B1644" s="294" t="s">
        <v>628</v>
      </c>
      <c r="C1644" s="294" t="s">
        <v>629</v>
      </c>
      <c r="D1644" s="295" t="s">
        <v>1067</v>
      </c>
      <c r="E1644" s="296">
        <v>11</v>
      </c>
      <c r="F1644" s="294">
        <v>16.100000000000001</v>
      </c>
      <c r="G1644" s="308">
        <f t="shared" si="242"/>
        <v>7.5325249799999998</v>
      </c>
      <c r="H1644" s="294">
        <v>108.6</v>
      </c>
      <c r="I1644" s="297"/>
      <c r="J1644" s="297"/>
      <c r="K1644" s="294">
        <f t="shared" si="220"/>
        <v>2.1135999999999999</v>
      </c>
      <c r="L1644" s="294">
        <f t="shared" si="221"/>
        <v>0.63314265607977505</v>
      </c>
      <c r="M1644" s="309">
        <f t="shared" si="244"/>
        <v>2.1641081561357014</v>
      </c>
      <c r="N1644" s="294">
        <v>0</v>
      </c>
      <c r="O1644" s="294" t="str">
        <f t="shared" si="240"/>
        <v/>
      </c>
      <c r="P1644" s="294"/>
    </row>
    <row r="1645" spans="1:16">
      <c r="A1645" s="294"/>
      <c r="B1645" s="294" t="s">
        <v>628</v>
      </c>
      <c r="C1645" s="294" t="s">
        <v>629</v>
      </c>
      <c r="D1645" s="295" t="s">
        <v>1067</v>
      </c>
      <c r="E1645" s="296">
        <v>12</v>
      </c>
      <c r="F1645" s="294">
        <v>10</v>
      </c>
      <c r="G1645" s="308">
        <f t="shared" si="242"/>
        <v>8.2811636899999996</v>
      </c>
      <c r="H1645" s="294">
        <v>153.30000000000001</v>
      </c>
      <c r="I1645" s="297"/>
      <c r="J1645" s="297"/>
      <c r="K1645" s="294">
        <f t="shared" si="220"/>
        <v>2.2599999999999998</v>
      </c>
      <c r="L1645" s="294">
        <f t="shared" si="221"/>
        <v>0.55088251592251125</v>
      </c>
      <c r="M1645" s="309">
        <f t="shared" si="244"/>
        <v>1.9654985932485154</v>
      </c>
      <c r="N1645" s="294">
        <v>0</v>
      </c>
      <c r="O1645" s="294" t="str">
        <f t="shared" si="240"/>
        <v/>
      </c>
      <c r="P1645" s="294"/>
    </row>
    <row r="1646" spans="1:16">
      <c r="A1646" s="294">
        <v>138</v>
      </c>
      <c r="B1646" s="294" t="s">
        <v>628</v>
      </c>
      <c r="C1646" s="294" t="s">
        <v>630</v>
      </c>
      <c r="D1646" s="295" t="s">
        <v>1067</v>
      </c>
      <c r="E1646" s="296">
        <v>1</v>
      </c>
      <c r="F1646" s="294">
        <v>9.3000000000000007</v>
      </c>
      <c r="G1646" s="308">
        <f t="shared" si="242"/>
        <v>10.980634689999999</v>
      </c>
      <c r="H1646" s="294">
        <v>197.3</v>
      </c>
      <c r="I1646" s="306">
        <v>0.80100000000000005</v>
      </c>
      <c r="J1646" s="307">
        <v>0.16</v>
      </c>
      <c r="K1646" s="294">
        <f t="shared" si="220"/>
        <v>2.2768000000000002</v>
      </c>
      <c r="L1646" s="294">
        <f t="shared" si="221"/>
        <v>0.5410323242451861</v>
      </c>
      <c r="M1646" s="309">
        <f>$I$1646*L1646*(G1646/K1646)+$J$1646</f>
        <v>2.2500577673587636</v>
      </c>
      <c r="N1646" s="294">
        <v>0</v>
      </c>
      <c r="O1646" s="294" t="str">
        <f t="shared" si="240"/>
        <v/>
      </c>
      <c r="P1646" s="294">
        <f>AVERAGE(O1646:O1657)</f>
        <v>5.3978882080115218</v>
      </c>
    </row>
    <row r="1647" spans="1:16">
      <c r="A1647" s="294"/>
      <c r="B1647" s="294" t="s">
        <v>628</v>
      </c>
      <c r="C1647" s="294" t="s">
        <v>630</v>
      </c>
      <c r="D1647" s="295" t="s">
        <v>1067</v>
      </c>
      <c r="E1647" s="296">
        <v>2</v>
      </c>
      <c r="F1647" s="294">
        <v>8.9</v>
      </c>
      <c r="G1647" s="308">
        <f t="shared" si="242"/>
        <v>11.329747339999999</v>
      </c>
      <c r="H1647" s="294">
        <v>151.80000000000001</v>
      </c>
      <c r="I1647" s="297"/>
      <c r="J1647" s="297"/>
      <c r="K1647" s="294">
        <f t="shared" si="220"/>
        <v>2.2864</v>
      </c>
      <c r="L1647" s="294">
        <f t="shared" si="221"/>
        <v>0.53537757568270028</v>
      </c>
      <c r="M1647" s="309">
        <f t="shared" ref="M1647:M1657" si="245">$I$1646*L1647*(G1647/K1647)+$J$1646</f>
        <v>2.2850086703347463</v>
      </c>
      <c r="N1647" s="294">
        <v>0</v>
      </c>
      <c r="O1647" s="294" t="str">
        <f t="shared" si="240"/>
        <v/>
      </c>
      <c r="P1647" s="294"/>
    </row>
    <row r="1648" spans="1:16">
      <c r="A1648" s="294"/>
      <c r="B1648" s="294" t="s">
        <v>628</v>
      </c>
      <c r="C1648" s="294" t="s">
        <v>630</v>
      </c>
      <c r="D1648" s="295" t="s">
        <v>1067</v>
      </c>
      <c r="E1648" s="296">
        <v>3</v>
      </c>
      <c r="F1648" s="294">
        <v>12.8</v>
      </c>
      <c r="G1648" s="308">
        <f t="shared" si="242"/>
        <v>13.58139392</v>
      </c>
      <c r="H1648" s="294">
        <v>165.4</v>
      </c>
      <c r="I1648" s="297"/>
      <c r="J1648" s="297"/>
      <c r="K1648" s="294">
        <f t="shared" si="220"/>
        <v>2.1928000000000001</v>
      </c>
      <c r="L1648" s="294">
        <f t="shared" si="221"/>
        <v>0.58955346412535858</v>
      </c>
      <c r="M1648" s="309">
        <f t="shared" si="245"/>
        <v>3.0848327364022499</v>
      </c>
      <c r="N1648" s="294">
        <v>0</v>
      </c>
      <c r="O1648" s="294" t="str">
        <f t="shared" si="240"/>
        <v/>
      </c>
      <c r="P1648" s="294"/>
    </row>
    <row r="1649" spans="1:16">
      <c r="A1649" s="294"/>
      <c r="B1649" s="294" t="s">
        <v>628</v>
      </c>
      <c r="C1649" s="294" t="s">
        <v>630</v>
      </c>
      <c r="D1649" s="295" t="s">
        <v>1067</v>
      </c>
      <c r="E1649" s="296">
        <v>4</v>
      </c>
      <c r="F1649" s="294">
        <v>18.3</v>
      </c>
      <c r="G1649" s="308">
        <f t="shared" si="242"/>
        <v>13.42267414</v>
      </c>
      <c r="H1649" s="294">
        <v>119.8</v>
      </c>
      <c r="I1649" s="297"/>
      <c r="J1649" s="297"/>
      <c r="K1649" s="294">
        <f t="shared" si="220"/>
        <v>2.0608</v>
      </c>
      <c r="L1649" s="294">
        <f t="shared" si="221"/>
        <v>0.66069972168755697</v>
      </c>
      <c r="M1649" s="309">
        <f t="shared" si="245"/>
        <v>3.606988553934984</v>
      </c>
      <c r="N1649" s="294">
        <v>0</v>
      </c>
      <c r="O1649" s="294" t="str">
        <f t="shared" si="240"/>
        <v/>
      </c>
      <c r="P1649" s="294"/>
    </row>
    <row r="1650" spans="1:16">
      <c r="A1650" s="294"/>
      <c r="B1650" s="294" t="s">
        <v>628</v>
      </c>
      <c r="C1650" s="294" t="s">
        <v>630</v>
      </c>
      <c r="D1650" s="295" t="s">
        <v>1067</v>
      </c>
      <c r="E1650" s="296">
        <v>5</v>
      </c>
      <c r="F1650" s="294">
        <v>20.6</v>
      </c>
      <c r="G1650" s="308">
        <f t="shared" si="242"/>
        <v>17.474057219999999</v>
      </c>
      <c r="H1650" s="294">
        <v>169.4</v>
      </c>
      <c r="I1650" s="297"/>
      <c r="J1650" s="297"/>
      <c r="K1650" s="294">
        <f t="shared" si="220"/>
        <v>2.0055999999999998</v>
      </c>
      <c r="L1650" s="294">
        <f t="shared" si="221"/>
        <v>0.68803058654568494</v>
      </c>
      <c r="M1650" s="309">
        <f t="shared" si="245"/>
        <v>4.961641083249889</v>
      </c>
      <c r="N1650" s="294">
        <v>0</v>
      </c>
      <c r="O1650" s="294" t="str">
        <f t="shared" si="240"/>
        <v/>
      </c>
      <c r="P1650" s="294"/>
    </row>
    <row r="1651" spans="1:16">
      <c r="A1651" s="294"/>
      <c r="B1651" s="294" t="s">
        <v>628</v>
      </c>
      <c r="C1651" s="294" t="s">
        <v>630</v>
      </c>
      <c r="D1651" s="295" t="s">
        <v>1067</v>
      </c>
      <c r="E1651" s="296">
        <v>6</v>
      </c>
      <c r="F1651" s="294">
        <v>22</v>
      </c>
      <c r="G1651" s="308">
        <f t="shared" si="242"/>
        <v>12.505115119999999</v>
      </c>
      <c r="H1651" s="294">
        <v>58.4</v>
      </c>
      <c r="I1651" s="297"/>
      <c r="J1651" s="297"/>
      <c r="K1651" s="294">
        <f t="shared" si="220"/>
        <v>1.972</v>
      </c>
      <c r="L1651" s="294">
        <f t="shared" si="221"/>
        <v>0.70387205081416948</v>
      </c>
      <c r="M1651" s="309">
        <f t="shared" si="245"/>
        <v>3.7352549803095969</v>
      </c>
      <c r="N1651" s="294">
        <v>0</v>
      </c>
      <c r="O1651" s="294" t="str">
        <f t="shared" si="240"/>
        <v/>
      </c>
      <c r="P1651" s="294"/>
    </row>
    <row r="1652" spans="1:16">
      <c r="A1652" s="294"/>
      <c r="B1652" s="294" t="s">
        <v>628</v>
      </c>
      <c r="C1652" s="294" t="s">
        <v>630</v>
      </c>
      <c r="D1652" s="295" t="s">
        <v>1067</v>
      </c>
      <c r="E1652" s="296">
        <v>7</v>
      </c>
      <c r="F1652" s="294">
        <v>25.6</v>
      </c>
      <c r="G1652" s="308">
        <f t="shared" si="242"/>
        <v>14.603395689999999</v>
      </c>
      <c r="H1652" s="294">
        <v>113.3</v>
      </c>
      <c r="I1652" s="297"/>
      <c r="J1652" s="297"/>
      <c r="K1652" s="294">
        <f t="shared" si="220"/>
        <v>1.8855999999999999</v>
      </c>
      <c r="L1652" s="294">
        <f t="shared" si="221"/>
        <v>0.74169310776479802</v>
      </c>
      <c r="M1652" s="309">
        <f t="shared" si="245"/>
        <v>4.7610933307813754</v>
      </c>
      <c r="N1652" s="294">
        <v>1</v>
      </c>
      <c r="O1652" s="294">
        <f t="shared" si="240"/>
        <v>4.7610933307813754</v>
      </c>
      <c r="P1652" s="294"/>
    </row>
    <row r="1653" spans="1:16">
      <c r="A1653" s="294"/>
      <c r="B1653" s="294" t="s">
        <v>628</v>
      </c>
      <c r="C1653" s="294" t="s">
        <v>630</v>
      </c>
      <c r="D1653" s="295" t="s">
        <v>1067</v>
      </c>
      <c r="E1653" s="296">
        <v>8</v>
      </c>
      <c r="F1653" s="294">
        <v>27.1</v>
      </c>
      <c r="G1653" s="308">
        <f t="shared" si="242"/>
        <v>17.939195260000002</v>
      </c>
      <c r="H1653" s="294">
        <v>203.2</v>
      </c>
      <c r="I1653" s="297"/>
      <c r="J1653" s="297"/>
      <c r="K1653" s="294">
        <f t="shared" si="220"/>
        <v>1.8495999999999999</v>
      </c>
      <c r="L1653" s="294">
        <f t="shared" si="221"/>
        <v>0.7561827862483661</v>
      </c>
      <c r="M1653" s="309">
        <f t="shared" si="245"/>
        <v>6.0346830852416682</v>
      </c>
      <c r="N1653" s="294">
        <v>1</v>
      </c>
      <c r="O1653" s="294">
        <f t="shared" si="240"/>
        <v>6.0346830852416682</v>
      </c>
      <c r="P1653" s="294"/>
    </row>
    <row r="1654" spans="1:16">
      <c r="A1654" s="294"/>
      <c r="B1654" s="294" t="s">
        <v>628</v>
      </c>
      <c r="C1654" s="294" t="s">
        <v>630</v>
      </c>
      <c r="D1654" s="295" t="s">
        <v>1067</v>
      </c>
      <c r="E1654" s="296">
        <v>9</v>
      </c>
      <c r="F1654" s="294">
        <v>24.1</v>
      </c>
      <c r="G1654" s="308">
        <f t="shared" si="242"/>
        <v>13.10138521</v>
      </c>
      <c r="H1654" s="294">
        <v>135.69999999999999</v>
      </c>
      <c r="I1654" s="297"/>
      <c r="J1654" s="297"/>
      <c r="K1654" s="294">
        <f t="shared" si="220"/>
        <v>1.9216</v>
      </c>
      <c r="L1654" s="294">
        <f t="shared" si="221"/>
        <v>0.72645305067252686</v>
      </c>
      <c r="M1654" s="309">
        <f t="shared" si="245"/>
        <v>4.1272931641997186</v>
      </c>
      <c r="N1654" s="294">
        <v>0</v>
      </c>
      <c r="O1654" s="294" t="str">
        <f t="shared" si="240"/>
        <v/>
      </c>
      <c r="P1654" s="294"/>
    </row>
    <row r="1655" spans="1:16">
      <c r="A1655" s="294"/>
      <c r="B1655" s="294" t="s">
        <v>628</v>
      </c>
      <c r="C1655" s="294" t="s">
        <v>630</v>
      </c>
      <c r="D1655" s="295" t="s">
        <v>1067</v>
      </c>
      <c r="E1655" s="296">
        <v>10</v>
      </c>
      <c r="F1655" s="294">
        <v>20</v>
      </c>
      <c r="G1655" s="308">
        <f t="shared" si="242"/>
        <v>13.718988420000002</v>
      </c>
      <c r="H1655" s="294">
        <v>215.4</v>
      </c>
      <c r="I1655" s="297"/>
      <c r="J1655" s="297"/>
      <c r="K1655" s="294">
        <f t="shared" si="220"/>
        <v>2.02</v>
      </c>
      <c r="L1655" s="294">
        <f t="shared" si="221"/>
        <v>0.68105417257260759</v>
      </c>
      <c r="M1655" s="309">
        <f t="shared" si="245"/>
        <v>3.864971692990073</v>
      </c>
      <c r="N1655" s="294">
        <v>0</v>
      </c>
      <c r="O1655" s="294" t="str">
        <f t="shared" si="240"/>
        <v/>
      </c>
      <c r="P1655" s="294"/>
    </row>
    <row r="1656" spans="1:16">
      <c r="A1656" s="294"/>
      <c r="B1656" s="294" t="s">
        <v>628</v>
      </c>
      <c r="C1656" s="294" t="s">
        <v>630</v>
      </c>
      <c r="D1656" s="295" t="s">
        <v>1067</v>
      </c>
      <c r="E1656" s="296">
        <v>11</v>
      </c>
      <c r="F1656" s="294">
        <v>18</v>
      </c>
      <c r="G1656" s="308">
        <f t="shared" si="242"/>
        <v>7.2366495299999993</v>
      </c>
      <c r="H1656" s="294">
        <v>102.1</v>
      </c>
      <c r="I1656" s="297"/>
      <c r="J1656" s="297"/>
      <c r="K1656" s="294">
        <f t="shared" si="220"/>
        <v>2.0680000000000001</v>
      </c>
      <c r="L1656" s="294">
        <f t="shared" si="221"/>
        <v>0.65702033496476719</v>
      </c>
      <c r="M1656" s="309">
        <f t="shared" si="245"/>
        <v>2.0016128358205045</v>
      </c>
      <c r="N1656" s="294">
        <v>0</v>
      </c>
      <c r="O1656" s="294" t="str">
        <f t="shared" si="240"/>
        <v/>
      </c>
      <c r="P1656" s="294"/>
    </row>
    <row r="1657" spans="1:16">
      <c r="A1657" s="294"/>
      <c r="B1657" s="294" t="s">
        <v>628</v>
      </c>
      <c r="C1657" s="294" t="s">
        <v>630</v>
      </c>
      <c r="D1657" s="295" t="s">
        <v>1067</v>
      </c>
      <c r="E1657" s="296">
        <v>12</v>
      </c>
      <c r="F1657" s="294">
        <v>12.4</v>
      </c>
      <c r="G1657" s="308">
        <f t="shared" si="242"/>
        <v>8.1673654400000011</v>
      </c>
      <c r="H1657" s="294">
        <v>150.80000000000001</v>
      </c>
      <c r="I1657" s="297"/>
      <c r="J1657" s="297"/>
      <c r="K1657" s="294">
        <f t="shared" si="220"/>
        <v>2.2023999999999999</v>
      </c>
      <c r="L1657" s="294">
        <f t="shared" si="221"/>
        <v>0.58411170691101355</v>
      </c>
      <c r="M1657" s="309">
        <f t="shared" si="245"/>
        <v>1.8950588758934173</v>
      </c>
      <c r="N1657" s="294">
        <v>0</v>
      </c>
      <c r="O1657" s="294" t="str">
        <f t="shared" si="240"/>
        <v/>
      </c>
      <c r="P1657" s="294"/>
    </row>
    <row r="1658" spans="1:16">
      <c r="A1658" s="294">
        <v>139</v>
      </c>
      <c r="B1658" s="294" t="s">
        <v>631</v>
      </c>
      <c r="C1658" s="294" t="s">
        <v>631</v>
      </c>
      <c r="D1658" s="295" t="s">
        <v>1067</v>
      </c>
      <c r="E1658" s="296">
        <v>1</v>
      </c>
      <c r="F1658" s="294">
        <v>9.1</v>
      </c>
      <c r="G1658" s="294">
        <v>9.1</v>
      </c>
      <c r="H1658" s="294"/>
      <c r="I1658" s="294">
        <v>0.97</v>
      </c>
      <c r="J1658" s="294">
        <v>0.27</v>
      </c>
      <c r="K1658" s="294">
        <f t="shared" si="220"/>
        <v>2.2816000000000001</v>
      </c>
      <c r="L1658" s="294">
        <f t="shared" si="221"/>
        <v>0.53820717400547546</v>
      </c>
      <c r="M1658" s="297">
        <f t="shared" ref="M1658:M1669" si="246">$I$1658*L1658*(G1658/K1658)+$J$1658</f>
        <v>2.3522031578481468</v>
      </c>
      <c r="N1658" s="294">
        <v>0</v>
      </c>
      <c r="O1658" s="294" t="str">
        <f t="shared" si="240"/>
        <v/>
      </c>
      <c r="P1658" s="294">
        <f>AVERAGE(O1658:O1669)</f>
        <v>6.8542405944883233</v>
      </c>
    </row>
    <row r="1659" spans="1:16">
      <c r="A1659" s="294"/>
      <c r="B1659" s="294" t="s">
        <v>631</v>
      </c>
      <c r="C1659" s="294" t="s">
        <v>631</v>
      </c>
      <c r="D1659" s="295" t="s">
        <v>1067</v>
      </c>
      <c r="E1659" s="296">
        <v>2</v>
      </c>
      <c r="F1659" s="294">
        <v>9.1</v>
      </c>
      <c r="G1659" s="294">
        <v>10.4</v>
      </c>
      <c r="H1659" s="294"/>
      <c r="I1659" s="294"/>
      <c r="J1659" s="294"/>
      <c r="K1659" s="294">
        <f t="shared" si="220"/>
        <v>2.2816000000000001</v>
      </c>
      <c r="L1659" s="294">
        <f t="shared" si="221"/>
        <v>0.53820717400547546</v>
      </c>
      <c r="M1659" s="297">
        <f t="shared" si="246"/>
        <v>2.6496607518264539</v>
      </c>
      <c r="N1659" s="294">
        <v>0</v>
      </c>
      <c r="O1659" s="294" t="str">
        <f t="shared" si="240"/>
        <v/>
      </c>
      <c r="P1659" s="294"/>
    </row>
    <row r="1660" spans="1:16">
      <c r="A1660" s="294"/>
      <c r="B1660" s="294" t="s">
        <v>631</v>
      </c>
      <c r="C1660" s="294" t="s">
        <v>631</v>
      </c>
      <c r="D1660" s="295" t="s">
        <v>1067</v>
      </c>
      <c r="E1660" s="296">
        <v>3</v>
      </c>
      <c r="F1660" s="294">
        <v>12.9</v>
      </c>
      <c r="G1660" s="294">
        <v>14.1</v>
      </c>
      <c r="H1660" s="294"/>
      <c r="I1660" s="294"/>
      <c r="J1660" s="294"/>
      <c r="K1660" s="294">
        <f t="shared" si="220"/>
        <v>2.1903999999999999</v>
      </c>
      <c r="L1660" s="294">
        <f t="shared" si="221"/>
        <v>0.5909090785245259</v>
      </c>
      <c r="M1660" s="297">
        <f t="shared" si="246"/>
        <v>3.9596747018717773</v>
      </c>
      <c r="N1660" s="294">
        <v>0</v>
      </c>
      <c r="O1660" s="294" t="str">
        <f t="shared" si="240"/>
        <v/>
      </c>
      <c r="P1660" s="294"/>
    </row>
    <row r="1661" spans="1:16">
      <c r="A1661" s="294"/>
      <c r="B1661" s="294" t="s">
        <v>631</v>
      </c>
      <c r="C1661" s="294" t="s">
        <v>631</v>
      </c>
      <c r="D1661" s="295" t="s">
        <v>1067</v>
      </c>
      <c r="E1661" s="296">
        <v>4</v>
      </c>
      <c r="F1661" s="294">
        <v>18.8</v>
      </c>
      <c r="G1661" s="294">
        <v>14.4</v>
      </c>
      <c r="H1661" s="294"/>
      <c r="I1661" s="294"/>
      <c r="J1661" s="294"/>
      <c r="K1661" s="294">
        <f t="shared" si="220"/>
        <v>2.0488</v>
      </c>
      <c r="L1661" s="294">
        <f t="shared" si="221"/>
        <v>0.66677466843060351</v>
      </c>
      <c r="M1661" s="297">
        <f t="shared" si="246"/>
        <v>4.8158358886366024</v>
      </c>
      <c r="N1661" s="294">
        <v>0</v>
      </c>
      <c r="O1661" s="294" t="str">
        <f t="shared" si="240"/>
        <v/>
      </c>
      <c r="P1661" s="294"/>
    </row>
    <row r="1662" spans="1:16">
      <c r="A1662" s="294"/>
      <c r="B1662" s="294" t="s">
        <v>631</v>
      </c>
      <c r="C1662" s="294" t="s">
        <v>631</v>
      </c>
      <c r="D1662" s="295" t="s">
        <v>1067</v>
      </c>
      <c r="E1662" s="296">
        <v>5</v>
      </c>
      <c r="F1662" s="294">
        <v>21.2</v>
      </c>
      <c r="G1662" s="294">
        <v>16.100000000000001</v>
      </c>
      <c r="H1662" s="294"/>
      <c r="I1662" s="294"/>
      <c r="J1662" s="294"/>
      <c r="K1662" s="294">
        <f t="shared" si="220"/>
        <v>1.9912000000000001</v>
      </c>
      <c r="L1662" s="294">
        <f t="shared" si="221"/>
        <v>0.69489543911089335</v>
      </c>
      <c r="M1662" s="297">
        <f t="shared" si="246"/>
        <v>5.7200713502384612</v>
      </c>
      <c r="N1662" s="294">
        <v>0</v>
      </c>
      <c r="O1662" s="294" t="str">
        <f t="shared" si="240"/>
        <v/>
      </c>
      <c r="P1662" s="294"/>
    </row>
    <row r="1663" spans="1:16">
      <c r="A1663" s="294"/>
      <c r="B1663" s="294" t="s">
        <v>631</v>
      </c>
      <c r="C1663" s="294" t="s">
        <v>631</v>
      </c>
      <c r="D1663" s="295" t="s">
        <v>1067</v>
      </c>
      <c r="E1663" s="296">
        <v>6</v>
      </c>
      <c r="F1663" s="294">
        <v>22.7</v>
      </c>
      <c r="G1663" s="294">
        <v>9.1</v>
      </c>
      <c r="H1663" s="294"/>
      <c r="I1663" s="294"/>
      <c r="J1663" s="294"/>
      <c r="K1663" s="294">
        <f t="shared" si="220"/>
        <v>1.9552</v>
      </c>
      <c r="L1663" s="294">
        <f t="shared" si="221"/>
        <v>0.71155854365220816</v>
      </c>
      <c r="M1663" s="297">
        <f t="shared" si="246"/>
        <v>3.4824218825787852</v>
      </c>
      <c r="N1663" s="294">
        <v>0</v>
      </c>
      <c r="O1663" s="294" t="str">
        <f t="shared" si="240"/>
        <v/>
      </c>
      <c r="P1663" s="294"/>
    </row>
    <row r="1664" spans="1:16">
      <c r="A1664" s="294"/>
      <c r="B1664" s="294" t="s">
        <v>631</v>
      </c>
      <c r="C1664" s="294" t="s">
        <v>631</v>
      </c>
      <c r="D1664" s="295" t="s">
        <v>1067</v>
      </c>
      <c r="E1664" s="296">
        <v>7</v>
      </c>
      <c r="F1664" s="294">
        <v>26.7</v>
      </c>
      <c r="G1664" s="294">
        <v>15.3</v>
      </c>
      <c r="H1664" s="294"/>
      <c r="I1664" s="294"/>
      <c r="J1664" s="294"/>
      <c r="K1664" s="294">
        <f t="shared" si="220"/>
        <v>1.8592</v>
      </c>
      <c r="L1664" s="294">
        <f t="shared" si="221"/>
        <v>0.75239240916315608</v>
      </c>
      <c r="M1664" s="297">
        <f t="shared" si="246"/>
        <v>6.2759465062340798</v>
      </c>
      <c r="N1664" s="294">
        <v>1</v>
      </c>
      <c r="O1664" s="294">
        <f t="shared" si="240"/>
        <v>6.2759465062340798</v>
      </c>
      <c r="P1664" s="294"/>
    </row>
    <row r="1665" spans="1:16">
      <c r="A1665" s="294"/>
      <c r="B1665" s="294" t="s">
        <v>631</v>
      </c>
      <c r="C1665" s="294" t="s">
        <v>631</v>
      </c>
      <c r="D1665" s="295" t="s">
        <v>1067</v>
      </c>
      <c r="E1665" s="296">
        <v>8</v>
      </c>
      <c r="F1665" s="294">
        <v>27.9</v>
      </c>
      <c r="G1665" s="294">
        <v>17.7</v>
      </c>
      <c r="H1665" s="294"/>
      <c r="I1665" s="294"/>
      <c r="J1665" s="294"/>
      <c r="K1665" s="294">
        <f t="shared" si="220"/>
        <v>1.8304</v>
      </c>
      <c r="L1665" s="294">
        <f t="shared" si="221"/>
        <v>0.76360320829937645</v>
      </c>
      <c r="M1665" s="297">
        <f t="shared" si="246"/>
        <v>7.4325346827425669</v>
      </c>
      <c r="N1665" s="294">
        <v>1</v>
      </c>
      <c r="O1665" s="294">
        <f t="shared" si="240"/>
        <v>7.4325346827425669</v>
      </c>
      <c r="P1665" s="294"/>
    </row>
    <row r="1666" spans="1:16">
      <c r="A1666" s="294"/>
      <c r="B1666" s="294" t="s">
        <v>631</v>
      </c>
      <c r="C1666" s="294" t="s">
        <v>631</v>
      </c>
      <c r="D1666" s="295" t="s">
        <v>1067</v>
      </c>
      <c r="E1666" s="296">
        <v>9</v>
      </c>
      <c r="F1666" s="294">
        <v>25.1</v>
      </c>
      <c r="G1666" s="294">
        <v>14.9</v>
      </c>
      <c r="H1666" s="294"/>
      <c r="I1666" s="294"/>
      <c r="J1666" s="294"/>
      <c r="K1666" s="294">
        <f t="shared" si="220"/>
        <v>1.8976</v>
      </c>
      <c r="L1666" s="294">
        <f t="shared" si="221"/>
        <v>0.73669623234985304</v>
      </c>
      <c r="M1666" s="297">
        <f t="shared" si="246"/>
        <v>5.8810195226351318</v>
      </c>
      <c r="N1666" s="294">
        <v>0</v>
      </c>
      <c r="O1666" s="294" t="str">
        <f t="shared" ref="O1666:O1729" si="247">IF(N1666*M1666=0,"",N1666*M1666)</f>
        <v/>
      </c>
      <c r="P1666" s="294"/>
    </row>
    <row r="1667" spans="1:16">
      <c r="A1667" s="294"/>
      <c r="B1667" s="294" t="s">
        <v>631</v>
      </c>
      <c r="C1667" s="294" t="s">
        <v>631</v>
      </c>
      <c r="D1667" s="295" t="s">
        <v>1067</v>
      </c>
      <c r="E1667" s="296">
        <v>10</v>
      </c>
      <c r="F1667" s="294">
        <v>20.8</v>
      </c>
      <c r="G1667" s="294">
        <v>15.7</v>
      </c>
      <c r="H1667" s="294"/>
      <c r="I1667" s="294"/>
      <c r="J1667" s="294"/>
      <c r="K1667" s="294">
        <f t="shared" si="220"/>
        <v>2.0007999999999999</v>
      </c>
      <c r="L1667" s="294">
        <f t="shared" si="221"/>
        <v>0.69033135678862079</v>
      </c>
      <c r="M1667" s="297">
        <f t="shared" si="246"/>
        <v>5.5244263457286618</v>
      </c>
      <c r="N1667" s="294">
        <v>0</v>
      </c>
      <c r="O1667" s="294" t="str">
        <f t="shared" si="247"/>
        <v/>
      </c>
      <c r="P1667" s="294"/>
    </row>
    <row r="1668" spans="1:16">
      <c r="A1668" s="294"/>
      <c r="B1668" s="294" t="s">
        <v>631</v>
      </c>
      <c r="C1668" s="294" t="s">
        <v>631</v>
      </c>
      <c r="D1668" s="295" t="s">
        <v>1067</v>
      </c>
      <c r="E1668" s="296">
        <v>11</v>
      </c>
      <c r="F1668" s="294">
        <v>18.3</v>
      </c>
      <c r="G1668" s="294">
        <v>9</v>
      </c>
      <c r="H1668" s="294"/>
      <c r="I1668" s="294"/>
      <c r="J1668" s="294"/>
      <c r="K1668" s="294">
        <f t="shared" si="220"/>
        <v>2.0608</v>
      </c>
      <c r="L1668" s="294">
        <f t="shared" si="221"/>
        <v>0.66069972168755697</v>
      </c>
      <c r="M1668" s="297">
        <f t="shared" si="246"/>
        <v>3.0688686773740161</v>
      </c>
      <c r="N1668" s="294">
        <v>0</v>
      </c>
      <c r="O1668" s="294" t="str">
        <f t="shared" si="247"/>
        <v/>
      </c>
      <c r="P1668" s="294"/>
    </row>
    <row r="1669" spans="1:16">
      <c r="A1669" s="294"/>
      <c r="B1669" s="294" t="s">
        <v>631</v>
      </c>
      <c r="C1669" s="294" t="s">
        <v>631</v>
      </c>
      <c r="D1669" s="295" t="s">
        <v>1067</v>
      </c>
      <c r="E1669" s="296">
        <v>12</v>
      </c>
      <c r="F1669" s="294">
        <v>12.6</v>
      </c>
      <c r="G1669" s="294">
        <v>8.5</v>
      </c>
      <c r="H1669" s="294"/>
      <c r="I1669" s="294"/>
      <c r="J1669" s="294"/>
      <c r="K1669" s="294">
        <f t="shared" si="220"/>
        <v>2.1976</v>
      </c>
      <c r="L1669" s="294">
        <f t="shared" si="221"/>
        <v>0.58683640404243798</v>
      </c>
      <c r="M1669" s="297">
        <f t="shared" si="246"/>
        <v>2.4717046556834279</v>
      </c>
      <c r="N1669" s="294">
        <v>0</v>
      </c>
      <c r="O1669" s="294" t="str">
        <f t="shared" si="247"/>
        <v/>
      </c>
      <c r="P1669" s="294"/>
    </row>
    <row r="1670" spans="1:16">
      <c r="A1670" s="294">
        <v>140</v>
      </c>
      <c r="B1670" s="294" t="s">
        <v>631</v>
      </c>
      <c r="C1670" s="294" t="s">
        <v>632</v>
      </c>
      <c r="D1670" s="295" t="s">
        <v>1060</v>
      </c>
      <c r="E1670" s="296">
        <v>1</v>
      </c>
      <c r="F1670" s="294">
        <v>15.2</v>
      </c>
      <c r="G1670" s="294">
        <v>6.4</v>
      </c>
      <c r="H1670" s="294"/>
      <c r="I1670" s="313">
        <v>0.71499999999999997</v>
      </c>
      <c r="J1670" s="314">
        <v>0.92</v>
      </c>
      <c r="K1670" s="294">
        <f>2.5-0.024*F1670</f>
        <v>2.1352000000000002</v>
      </c>
      <c r="L1670" s="294">
        <f>1/(1.05+1.4*EXP(-0.0604*F1670))</f>
        <v>0.62150446245737101</v>
      </c>
      <c r="M1670" s="297">
        <f t="shared" ref="M1670:M1681" si="248">$I$1670*L1670*(G1670/K1670)+$J$1670</f>
        <v>2.2519616055661906</v>
      </c>
      <c r="N1670" s="294">
        <v>0</v>
      </c>
      <c r="O1670" s="294" t="str">
        <f t="shared" si="247"/>
        <v/>
      </c>
      <c r="P1670" s="294">
        <f>AVERAGE(O1670:O1681)</f>
        <v>5.6859441520486911</v>
      </c>
    </row>
    <row r="1671" spans="1:16">
      <c r="A1671" s="294"/>
      <c r="B1671" s="294" t="s">
        <v>631</v>
      </c>
      <c r="C1671" s="294" t="s">
        <v>632</v>
      </c>
      <c r="D1671" s="295" t="s">
        <v>1060</v>
      </c>
      <c r="E1671" s="296">
        <v>2</v>
      </c>
      <c r="F1671" s="294">
        <v>14.6</v>
      </c>
      <c r="G1671" s="294">
        <v>7.9</v>
      </c>
      <c r="H1671" s="294"/>
      <c r="I1671" s="313"/>
      <c r="J1671" s="314"/>
      <c r="K1671" s="294">
        <f t="shared" ref="K1671:K1741" si="249">2.5-0.024*F1671</f>
        <v>2.1496</v>
      </c>
      <c r="L1671" s="294">
        <f t="shared" ref="L1671:L1741" si="250">1/(1.05+1.4*EXP(-0.0604*F1671))</f>
        <v>0.61363675963733433</v>
      </c>
      <c r="M1671" s="297">
        <f t="shared" si="248"/>
        <v>2.5324521942740432</v>
      </c>
      <c r="N1671" s="294">
        <v>0</v>
      </c>
      <c r="O1671" s="294" t="str">
        <f t="shared" si="247"/>
        <v/>
      </c>
      <c r="P1671" s="294"/>
    </row>
    <row r="1672" spans="1:16">
      <c r="A1672" s="294"/>
      <c r="B1672" s="294" t="s">
        <v>631</v>
      </c>
      <c r="C1672" s="294" t="s">
        <v>632</v>
      </c>
      <c r="D1672" s="295" t="s">
        <v>1060</v>
      </c>
      <c r="E1672" s="296">
        <v>3</v>
      </c>
      <c r="F1672" s="294">
        <v>17</v>
      </c>
      <c r="G1672" s="294">
        <v>10.5</v>
      </c>
      <c r="H1672" s="294"/>
      <c r="I1672" s="294"/>
      <c r="J1672" s="294"/>
      <c r="K1672" s="294">
        <f t="shared" si="249"/>
        <v>2.0920000000000001</v>
      </c>
      <c r="L1672" s="294">
        <f>1/(1.05+1.4*EXP(-0.0604*F1672))</f>
        <v>0.6445742296890733</v>
      </c>
      <c r="M1672" s="297">
        <f t="shared" si="248"/>
        <v>3.2331649280070351</v>
      </c>
      <c r="N1672" s="294">
        <v>0</v>
      </c>
      <c r="O1672" s="294" t="str">
        <f t="shared" si="247"/>
        <v/>
      </c>
      <c r="P1672" s="294"/>
    </row>
    <row r="1673" spans="1:16">
      <c r="A1673" s="294"/>
      <c r="B1673" s="294" t="s">
        <v>631</v>
      </c>
      <c r="C1673" s="294" t="s">
        <v>632</v>
      </c>
      <c r="D1673" s="295" t="s">
        <v>1060</v>
      </c>
      <c r="E1673" s="296">
        <v>4</v>
      </c>
      <c r="F1673" s="294">
        <v>21</v>
      </c>
      <c r="G1673" s="294">
        <v>12.4</v>
      </c>
      <c r="H1673" s="294"/>
      <c r="I1673" s="294"/>
      <c r="J1673" s="294"/>
      <c r="K1673" s="294">
        <f t="shared" si="249"/>
        <v>1.996</v>
      </c>
      <c r="L1673" s="294">
        <f t="shared" si="250"/>
        <v>0.69261966250512974</v>
      </c>
      <c r="M1673" s="297">
        <f t="shared" si="248"/>
        <v>3.9965360359571545</v>
      </c>
      <c r="N1673" s="294">
        <v>0</v>
      </c>
      <c r="O1673" s="294" t="str">
        <f t="shared" si="247"/>
        <v/>
      </c>
      <c r="P1673" s="294"/>
    </row>
    <row r="1674" spans="1:16">
      <c r="A1674" s="294"/>
      <c r="B1674" s="294" t="s">
        <v>631</v>
      </c>
      <c r="C1674" s="294" t="s">
        <v>632</v>
      </c>
      <c r="D1674" s="295" t="s">
        <v>1060</v>
      </c>
      <c r="E1674" s="296">
        <v>5</v>
      </c>
      <c r="F1674" s="294">
        <v>23.5</v>
      </c>
      <c r="G1674" s="294">
        <v>13.5</v>
      </c>
      <c r="H1674" s="294"/>
      <c r="I1674" s="294"/>
      <c r="J1674" s="294"/>
      <c r="K1674" s="294">
        <f t="shared" si="249"/>
        <v>1.9359999999999999</v>
      </c>
      <c r="L1674" s="294">
        <f t="shared" si="250"/>
        <v>0.72014837826643319</v>
      </c>
      <c r="M1674" s="297">
        <f t="shared" si="248"/>
        <v>4.5105125109590638</v>
      </c>
      <c r="N1674" s="294">
        <v>0</v>
      </c>
      <c r="O1674" s="294" t="str">
        <f t="shared" si="247"/>
        <v/>
      </c>
      <c r="P1674" s="294"/>
    </row>
    <row r="1675" spans="1:16">
      <c r="A1675" s="294"/>
      <c r="B1675" s="294" t="s">
        <v>631</v>
      </c>
      <c r="C1675" s="294" t="s">
        <v>632</v>
      </c>
      <c r="D1675" s="295" t="s">
        <v>1060</v>
      </c>
      <c r="E1675" s="296">
        <v>6</v>
      </c>
      <c r="F1675" s="294">
        <v>27.4</v>
      </c>
      <c r="G1675" s="294">
        <v>14</v>
      </c>
      <c r="H1675" s="294"/>
      <c r="I1675" s="294"/>
      <c r="J1675" s="294"/>
      <c r="K1675" s="294">
        <f t="shared" si="249"/>
        <v>1.8424</v>
      </c>
      <c r="L1675" s="294">
        <f t="shared" si="250"/>
        <v>0.75899048170392402</v>
      </c>
      <c r="M1675" s="297">
        <f t="shared" si="248"/>
        <v>5.0436944864612894</v>
      </c>
      <c r="N1675" s="294">
        <v>0</v>
      </c>
      <c r="O1675" s="294" t="str">
        <f t="shared" si="247"/>
        <v/>
      </c>
      <c r="P1675" s="294"/>
    </row>
    <row r="1676" spans="1:16">
      <c r="A1676" s="294"/>
      <c r="B1676" s="294" t="s">
        <v>631</v>
      </c>
      <c r="C1676" s="294" t="s">
        <v>632</v>
      </c>
      <c r="D1676" s="295" t="s">
        <v>1060</v>
      </c>
      <c r="E1676" s="296">
        <v>7</v>
      </c>
      <c r="F1676" s="294">
        <v>28.4</v>
      </c>
      <c r="G1676" s="294">
        <v>15.2</v>
      </c>
      <c r="H1676" s="294"/>
      <c r="I1676" s="294"/>
      <c r="J1676" s="294"/>
      <c r="K1676" s="294">
        <f t="shared" si="249"/>
        <v>1.8184</v>
      </c>
      <c r="L1676" s="294">
        <f t="shared" si="250"/>
        <v>0.76813262106928992</v>
      </c>
      <c r="M1676" s="297">
        <f t="shared" si="248"/>
        <v>5.510885022976816</v>
      </c>
      <c r="N1676" s="294">
        <v>1</v>
      </c>
      <c r="O1676" s="294">
        <f t="shared" si="247"/>
        <v>5.510885022976816</v>
      </c>
      <c r="P1676" s="294"/>
    </row>
    <row r="1677" spans="1:16">
      <c r="A1677" s="294"/>
      <c r="B1677" s="294" t="s">
        <v>631</v>
      </c>
      <c r="C1677" s="294" t="s">
        <v>632</v>
      </c>
      <c r="D1677" s="295" t="s">
        <v>1060</v>
      </c>
      <c r="E1677" s="296">
        <v>8</v>
      </c>
      <c r="F1677" s="294">
        <v>28.3</v>
      </c>
      <c r="G1677" s="294">
        <v>16.399999999999999</v>
      </c>
      <c r="H1677" s="294"/>
      <c r="I1677" s="294"/>
      <c r="J1677" s="294"/>
      <c r="K1677" s="294">
        <f t="shared" si="249"/>
        <v>1.8208</v>
      </c>
      <c r="L1677" s="294">
        <f t="shared" si="250"/>
        <v>0.76723339367766763</v>
      </c>
      <c r="M1677" s="297">
        <f t="shared" si="248"/>
        <v>5.861003281120567</v>
      </c>
      <c r="N1677" s="294">
        <v>1</v>
      </c>
      <c r="O1677" s="294">
        <f t="shared" si="247"/>
        <v>5.861003281120567</v>
      </c>
      <c r="P1677" s="294"/>
    </row>
    <row r="1678" spans="1:16">
      <c r="A1678" s="294"/>
      <c r="B1678" s="294" t="s">
        <v>631</v>
      </c>
      <c r="C1678" s="294" t="s">
        <v>632</v>
      </c>
      <c r="D1678" s="295" t="s">
        <v>1060</v>
      </c>
      <c r="E1678" s="296">
        <v>9</v>
      </c>
      <c r="F1678" s="294">
        <v>26.5</v>
      </c>
      <c r="G1678" s="294">
        <v>13.5</v>
      </c>
      <c r="H1678" s="294"/>
      <c r="I1678" s="294"/>
      <c r="J1678" s="294"/>
      <c r="K1678" s="294">
        <f t="shared" si="249"/>
        <v>1.8639999999999999</v>
      </c>
      <c r="L1678" s="294">
        <f t="shared" si="250"/>
        <v>0.75047716295715017</v>
      </c>
      <c r="M1678" s="297">
        <f t="shared" si="248"/>
        <v>4.8062558022767661</v>
      </c>
      <c r="N1678" s="294">
        <v>0</v>
      </c>
      <c r="O1678" s="294" t="str">
        <f t="shared" si="247"/>
        <v/>
      </c>
      <c r="P1678" s="294"/>
    </row>
    <row r="1679" spans="1:16">
      <c r="A1679" s="294"/>
      <c r="B1679" s="294" t="s">
        <v>631</v>
      </c>
      <c r="C1679" s="294" t="s">
        <v>632</v>
      </c>
      <c r="D1679" s="295" t="s">
        <v>1060</v>
      </c>
      <c r="E1679" s="296">
        <v>10</v>
      </c>
      <c r="F1679" s="294">
        <v>23.5</v>
      </c>
      <c r="G1679" s="294">
        <v>10.9</v>
      </c>
      <c r="H1679" s="294"/>
      <c r="I1679" s="294"/>
      <c r="J1679" s="294"/>
      <c r="K1679" s="294">
        <f t="shared" si="249"/>
        <v>1.9359999999999999</v>
      </c>
      <c r="L1679" s="294">
        <f t="shared" si="250"/>
        <v>0.72014837826643319</v>
      </c>
      <c r="M1679" s="297">
        <f t="shared" si="248"/>
        <v>3.8190063977373176</v>
      </c>
      <c r="N1679" s="294">
        <v>0</v>
      </c>
      <c r="O1679" s="294" t="str">
        <f t="shared" si="247"/>
        <v/>
      </c>
      <c r="P1679" s="294"/>
    </row>
    <row r="1680" spans="1:16">
      <c r="A1680" s="294"/>
      <c r="B1680" s="294" t="s">
        <v>631</v>
      </c>
      <c r="C1680" s="294" t="s">
        <v>632</v>
      </c>
      <c r="D1680" s="295" t="s">
        <v>1060</v>
      </c>
      <c r="E1680" s="296">
        <v>11</v>
      </c>
      <c r="F1680" s="294">
        <v>21.5</v>
      </c>
      <c r="G1680" s="294">
        <v>7.9</v>
      </c>
      <c r="H1680" s="294"/>
      <c r="I1680" s="294"/>
      <c r="J1680" s="294"/>
      <c r="K1680" s="294">
        <f t="shared" si="249"/>
        <v>1.984</v>
      </c>
      <c r="L1680" s="294">
        <f t="shared" si="250"/>
        <v>0.69828547686607079</v>
      </c>
      <c r="M1680" s="297">
        <f t="shared" si="248"/>
        <v>2.9080370544747987</v>
      </c>
      <c r="N1680" s="294">
        <v>0</v>
      </c>
      <c r="O1680" s="294" t="str">
        <f t="shared" si="247"/>
        <v/>
      </c>
      <c r="P1680" s="294"/>
    </row>
    <row r="1681" spans="1:16">
      <c r="A1681" s="294"/>
      <c r="B1681" s="294" t="s">
        <v>631</v>
      </c>
      <c r="C1681" s="294" t="s">
        <v>632</v>
      </c>
      <c r="D1681" s="295" t="s">
        <v>1060</v>
      </c>
      <c r="E1681" s="296">
        <v>12</v>
      </c>
      <c r="F1681" s="294">
        <v>17.8</v>
      </c>
      <c r="G1681" s="294">
        <v>5.4</v>
      </c>
      <c r="H1681" s="294"/>
      <c r="I1681" s="294"/>
      <c r="J1681" s="294"/>
      <c r="K1681" s="294">
        <f t="shared" si="249"/>
        <v>2.0728</v>
      </c>
      <c r="L1681" s="294">
        <f t="shared" si="250"/>
        <v>0.65455327559795284</v>
      </c>
      <c r="M1681" s="297">
        <f t="shared" si="248"/>
        <v>2.1392349464896259</v>
      </c>
      <c r="N1681" s="294">
        <v>0</v>
      </c>
      <c r="O1681" s="294" t="str">
        <f t="shared" si="247"/>
        <v/>
      </c>
      <c r="P1681" s="294"/>
    </row>
    <row r="1682" spans="1:16">
      <c r="A1682" s="294">
        <v>141</v>
      </c>
      <c r="B1682" s="294" t="s">
        <v>633</v>
      </c>
      <c r="C1682" s="294" t="s">
        <v>634</v>
      </c>
      <c r="D1682" s="295" t="s">
        <v>1060</v>
      </c>
      <c r="E1682" s="296">
        <v>1</v>
      </c>
      <c r="F1682" s="294">
        <v>8.6999999999999993</v>
      </c>
      <c r="G1682" s="308">
        <f t="shared" ref="G1682:G1713" si="251">$T$11+$T$12*H1682+INDEX($T$13:$T$24,MATCH(E1682,$S$13:$S$24,0),1)</f>
        <v>7.8261472000000003</v>
      </c>
      <c r="H1682" s="294">
        <v>128</v>
      </c>
      <c r="I1682" s="306">
        <v>0.79</v>
      </c>
      <c r="J1682" s="307">
        <v>0.75</v>
      </c>
      <c r="K1682" s="294">
        <f t="shared" si="249"/>
        <v>2.2911999999999999</v>
      </c>
      <c r="L1682" s="294">
        <f t="shared" si="250"/>
        <v>0.53254372569577879</v>
      </c>
      <c r="M1682" s="309">
        <f>$I$1682*L1682*(G1682/K1682)+$J$1682</f>
        <v>2.1870350970268655</v>
      </c>
      <c r="N1682" s="294">
        <v>0</v>
      </c>
      <c r="O1682" s="294" t="str">
        <f t="shared" si="247"/>
        <v/>
      </c>
      <c r="P1682" s="294">
        <f>AVERAGE(O1682:O1693)</f>
        <v>6.0456047505519042</v>
      </c>
    </row>
    <row r="1683" spans="1:16">
      <c r="A1683" s="294"/>
      <c r="B1683" s="294" t="s">
        <v>633</v>
      </c>
      <c r="C1683" s="294" t="s">
        <v>634</v>
      </c>
      <c r="D1683" s="295" t="s">
        <v>1060</v>
      </c>
      <c r="E1683" s="296">
        <v>2</v>
      </c>
      <c r="F1683" s="294">
        <v>8</v>
      </c>
      <c r="G1683" s="308">
        <f t="shared" si="251"/>
        <v>9.04467848</v>
      </c>
      <c r="H1683" s="294">
        <v>101.6</v>
      </c>
      <c r="I1683" s="297"/>
      <c r="J1683" s="297"/>
      <c r="K1683" s="294">
        <f t="shared" si="249"/>
        <v>2.3079999999999998</v>
      </c>
      <c r="L1683" s="294">
        <f t="shared" si="250"/>
        <v>0.52259463248663729</v>
      </c>
      <c r="M1683" s="309">
        <f t="shared" ref="M1683:M1693" si="252">$I$1682*L1683*(G1683/K1683)+$J$1682</f>
        <v>2.3678913937219086</v>
      </c>
      <c r="N1683" s="294">
        <v>0</v>
      </c>
      <c r="O1683" s="294" t="str">
        <f t="shared" si="247"/>
        <v/>
      </c>
      <c r="P1683" s="294"/>
    </row>
    <row r="1684" spans="1:16">
      <c r="A1684" s="294"/>
      <c r="B1684" s="294" t="s">
        <v>633</v>
      </c>
      <c r="C1684" s="294" t="s">
        <v>634</v>
      </c>
      <c r="D1684" s="295" t="s">
        <v>1060</v>
      </c>
      <c r="E1684" s="296">
        <v>3</v>
      </c>
      <c r="F1684" s="294">
        <v>11.4</v>
      </c>
      <c r="G1684" s="308">
        <f t="shared" si="251"/>
        <v>14.036586920000001</v>
      </c>
      <c r="H1684" s="294">
        <v>175.4</v>
      </c>
      <c r="I1684" s="297"/>
      <c r="J1684" s="297"/>
      <c r="K1684" s="294">
        <f t="shared" si="249"/>
        <v>2.2263999999999999</v>
      </c>
      <c r="L1684" s="294">
        <f t="shared" si="250"/>
        <v>0.57037959366923263</v>
      </c>
      <c r="M1684" s="309">
        <f t="shared" si="252"/>
        <v>3.5908571540184373</v>
      </c>
      <c r="N1684" s="294">
        <v>0</v>
      </c>
      <c r="O1684" s="294" t="str">
        <f t="shared" si="247"/>
        <v/>
      </c>
      <c r="P1684" s="294"/>
    </row>
    <row r="1685" spans="1:16">
      <c r="A1685" s="294"/>
      <c r="B1685" s="294" t="s">
        <v>633</v>
      </c>
      <c r="C1685" s="294" t="s">
        <v>634</v>
      </c>
      <c r="D1685" s="295" t="s">
        <v>1060</v>
      </c>
      <c r="E1685" s="296">
        <v>4</v>
      </c>
      <c r="F1685" s="294">
        <v>16.899999999999999</v>
      </c>
      <c r="G1685" s="308">
        <f t="shared" si="251"/>
        <v>14.23746961</v>
      </c>
      <c r="H1685" s="294">
        <v>137.69999999999999</v>
      </c>
      <c r="I1685" s="297"/>
      <c r="J1685" s="297"/>
      <c r="K1685" s="294">
        <f t="shared" si="249"/>
        <v>2.0944000000000003</v>
      </c>
      <c r="L1685" s="294">
        <f t="shared" si="250"/>
        <v>0.64331460843064392</v>
      </c>
      <c r="M1685" s="309">
        <f t="shared" si="252"/>
        <v>4.2048061630482572</v>
      </c>
      <c r="N1685" s="294">
        <v>0</v>
      </c>
      <c r="O1685" s="294" t="str">
        <f t="shared" si="247"/>
        <v/>
      </c>
      <c r="P1685" s="294"/>
    </row>
    <row r="1686" spans="1:16">
      <c r="A1686" s="294"/>
      <c r="B1686" s="294" t="s">
        <v>633</v>
      </c>
      <c r="C1686" s="294" t="s">
        <v>634</v>
      </c>
      <c r="D1686" s="295" t="s">
        <v>1060</v>
      </c>
      <c r="E1686" s="296">
        <v>5</v>
      </c>
      <c r="F1686" s="294">
        <v>19.7</v>
      </c>
      <c r="G1686" s="308">
        <f t="shared" si="251"/>
        <v>18.434514450000002</v>
      </c>
      <c r="H1686" s="294">
        <v>190.5</v>
      </c>
      <c r="I1686" s="297"/>
      <c r="J1686" s="297"/>
      <c r="K1686" s="294">
        <f t="shared" si="249"/>
        <v>2.0272000000000001</v>
      </c>
      <c r="L1686" s="294">
        <f t="shared" si="250"/>
        <v>0.67752473134026181</v>
      </c>
      <c r="M1686" s="309">
        <f t="shared" si="252"/>
        <v>5.6172914194940295</v>
      </c>
      <c r="N1686" s="294">
        <v>0</v>
      </c>
      <c r="O1686" s="294" t="str">
        <f t="shared" si="247"/>
        <v/>
      </c>
      <c r="P1686" s="294"/>
    </row>
    <row r="1687" spans="1:16">
      <c r="A1687" s="294"/>
      <c r="B1687" s="294" t="s">
        <v>633</v>
      </c>
      <c r="C1687" s="294" t="s">
        <v>634</v>
      </c>
      <c r="D1687" s="295" t="s">
        <v>1060</v>
      </c>
      <c r="E1687" s="296">
        <v>6</v>
      </c>
      <c r="F1687" s="294">
        <v>21.5</v>
      </c>
      <c r="G1687" s="308">
        <f t="shared" si="251"/>
        <v>13.146937250000001</v>
      </c>
      <c r="H1687" s="294">
        <v>72.5</v>
      </c>
      <c r="I1687" s="297"/>
      <c r="J1687" s="297"/>
      <c r="K1687" s="294">
        <f t="shared" si="249"/>
        <v>1.984</v>
      </c>
      <c r="L1687" s="294">
        <f t="shared" si="250"/>
        <v>0.69828547686607079</v>
      </c>
      <c r="M1687" s="309">
        <f t="shared" si="252"/>
        <v>4.4054683085111908</v>
      </c>
      <c r="N1687" s="294">
        <v>0</v>
      </c>
      <c r="O1687" s="294" t="str">
        <f t="shared" si="247"/>
        <v/>
      </c>
      <c r="P1687" s="294"/>
    </row>
    <row r="1688" spans="1:16">
      <c r="A1688" s="294"/>
      <c r="B1688" s="294" t="s">
        <v>633</v>
      </c>
      <c r="C1688" s="294" t="s">
        <v>634</v>
      </c>
      <c r="D1688" s="295" t="s">
        <v>1060</v>
      </c>
      <c r="E1688" s="296">
        <v>7</v>
      </c>
      <c r="F1688" s="294">
        <v>25.4</v>
      </c>
      <c r="G1688" s="308">
        <f t="shared" si="251"/>
        <v>15.07679641</v>
      </c>
      <c r="H1688" s="294">
        <v>123.7</v>
      </c>
      <c r="I1688" s="297"/>
      <c r="J1688" s="297"/>
      <c r="K1688" s="294">
        <f t="shared" si="249"/>
        <v>1.8904000000000001</v>
      </c>
      <c r="L1688" s="294">
        <f t="shared" si="250"/>
        <v>0.73970436015123497</v>
      </c>
      <c r="M1688" s="309">
        <f t="shared" si="252"/>
        <v>5.4105871312186276</v>
      </c>
      <c r="N1688" s="294">
        <v>1</v>
      </c>
      <c r="O1688" s="294">
        <f t="shared" si="247"/>
        <v>5.4105871312186276</v>
      </c>
      <c r="P1688" s="294"/>
    </row>
    <row r="1689" spans="1:16">
      <c r="A1689" s="294"/>
      <c r="B1689" s="294" t="s">
        <v>633</v>
      </c>
      <c r="C1689" s="294" t="s">
        <v>634</v>
      </c>
      <c r="D1689" s="295" t="s">
        <v>1060</v>
      </c>
      <c r="E1689" s="296">
        <v>8</v>
      </c>
      <c r="F1689" s="294">
        <v>26.2</v>
      </c>
      <c r="G1689" s="308">
        <f t="shared" si="251"/>
        <v>18.790406170000001</v>
      </c>
      <c r="H1689" s="294">
        <v>221.9</v>
      </c>
      <c r="I1689" s="297"/>
      <c r="J1689" s="297"/>
      <c r="K1689" s="294">
        <f t="shared" si="249"/>
        <v>1.8712</v>
      </c>
      <c r="L1689" s="294">
        <f t="shared" si="250"/>
        <v>0.74757921999786014</v>
      </c>
      <c r="M1689" s="309">
        <f t="shared" si="252"/>
        <v>6.6806223698851799</v>
      </c>
      <c r="N1689" s="294">
        <v>1</v>
      </c>
      <c r="O1689" s="294">
        <f t="shared" si="247"/>
        <v>6.6806223698851799</v>
      </c>
      <c r="P1689" s="294"/>
    </row>
    <row r="1690" spans="1:16">
      <c r="A1690" s="294"/>
      <c r="B1690" s="294" t="s">
        <v>633</v>
      </c>
      <c r="C1690" s="294" t="s">
        <v>634</v>
      </c>
      <c r="D1690" s="295" t="s">
        <v>1060</v>
      </c>
      <c r="E1690" s="296">
        <v>9</v>
      </c>
      <c r="F1690" s="294">
        <v>23.4</v>
      </c>
      <c r="G1690" s="308">
        <f t="shared" si="251"/>
        <v>15.372798280000001</v>
      </c>
      <c r="H1690" s="294">
        <v>185.6</v>
      </c>
      <c r="I1690" s="297"/>
      <c r="J1690" s="297"/>
      <c r="K1690" s="294">
        <f t="shared" si="249"/>
        <v>1.9384000000000001</v>
      </c>
      <c r="L1690" s="294">
        <f t="shared" si="250"/>
        <v>0.71908608973973653</v>
      </c>
      <c r="M1690" s="309">
        <f t="shared" si="252"/>
        <v>5.2552355905814743</v>
      </c>
      <c r="N1690" s="294">
        <v>0</v>
      </c>
      <c r="O1690" s="294" t="str">
        <f t="shared" si="247"/>
        <v/>
      </c>
      <c r="P1690" s="294"/>
    </row>
    <row r="1691" spans="1:16">
      <c r="A1691" s="294"/>
      <c r="B1691" s="294" t="s">
        <v>633</v>
      </c>
      <c r="C1691" s="294" t="s">
        <v>634</v>
      </c>
      <c r="D1691" s="295" t="s">
        <v>1060</v>
      </c>
      <c r="E1691" s="296">
        <v>10</v>
      </c>
      <c r="F1691" s="294">
        <v>19.3</v>
      </c>
      <c r="G1691" s="308">
        <f t="shared" si="251"/>
        <v>14.91159408</v>
      </c>
      <c r="H1691" s="294">
        <v>241.6</v>
      </c>
      <c r="I1691" s="297"/>
      <c r="J1691" s="297"/>
      <c r="K1691" s="294">
        <f t="shared" si="249"/>
        <v>2.0367999999999999</v>
      </c>
      <c r="L1691" s="294">
        <f t="shared" si="250"/>
        <v>0.67277663480485017</v>
      </c>
      <c r="M1691" s="309">
        <f t="shared" si="252"/>
        <v>4.641111521468714</v>
      </c>
      <c r="N1691" s="294">
        <v>0</v>
      </c>
      <c r="O1691" s="294" t="str">
        <f t="shared" si="247"/>
        <v/>
      </c>
      <c r="P1691" s="294"/>
    </row>
    <row r="1692" spans="1:16">
      <c r="A1692" s="294"/>
      <c r="B1692" s="294" t="s">
        <v>633</v>
      </c>
      <c r="C1692" s="294" t="s">
        <v>634</v>
      </c>
      <c r="D1692" s="295" t="s">
        <v>1060</v>
      </c>
      <c r="E1692" s="296">
        <v>11</v>
      </c>
      <c r="F1692" s="294">
        <v>16.899999999999999</v>
      </c>
      <c r="G1692" s="308">
        <f t="shared" si="251"/>
        <v>8.1151720199999993</v>
      </c>
      <c r="H1692" s="294">
        <v>121.4</v>
      </c>
      <c r="I1692" s="297"/>
      <c r="J1692" s="297"/>
      <c r="K1692" s="294">
        <f t="shared" si="249"/>
        <v>2.0944000000000003</v>
      </c>
      <c r="L1692" s="294">
        <f t="shared" si="250"/>
        <v>0.64331460843064392</v>
      </c>
      <c r="M1692" s="309">
        <f t="shared" si="252"/>
        <v>2.7191944619991202</v>
      </c>
      <c r="N1692" s="294">
        <v>0</v>
      </c>
      <c r="O1692" s="294" t="str">
        <f t="shared" si="247"/>
        <v/>
      </c>
      <c r="P1692" s="294"/>
    </row>
    <row r="1693" spans="1:16">
      <c r="A1693" s="294"/>
      <c r="B1693" s="294" t="s">
        <v>633</v>
      </c>
      <c r="C1693" s="294" t="s">
        <v>634</v>
      </c>
      <c r="D1693" s="295" t="s">
        <v>1060</v>
      </c>
      <c r="E1693" s="296">
        <v>12</v>
      </c>
      <c r="F1693" s="294">
        <v>11.5</v>
      </c>
      <c r="G1693" s="308">
        <f t="shared" si="251"/>
        <v>7.3298103199999991</v>
      </c>
      <c r="H1693" s="294">
        <v>132.4</v>
      </c>
      <c r="I1693" s="297"/>
      <c r="J1693" s="297"/>
      <c r="K1693" s="294">
        <f t="shared" si="249"/>
        <v>2.2240000000000002</v>
      </c>
      <c r="L1693" s="294">
        <f t="shared" si="250"/>
        <v>0.57176059614784436</v>
      </c>
      <c r="M1693" s="309">
        <f t="shared" si="252"/>
        <v>2.2386728450489741</v>
      </c>
      <c r="N1693" s="294">
        <v>0</v>
      </c>
      <c r="O1693" s="294" t="str">
        <f t="shared" si="247"/>
        <v/>
      </c>
      <c r="P1693" s="294"/>
    </row>
    <row r="1694" spans="1:16">
      <c r="A1694" s="294">
        <v>142</v>
      </c>
      <c r="B1694" s="294" t="s">
        <v>633</v>
      </c>
      <c r="C1694" s="294" t="s">
        <v>424</v>
      </c>
      <c r="D1694" s="295" t="s">
        <v>1060</v>
      </c>
      <c r="E1694" s="296">
        <v>1</v>
      </c>
      <c r="F1694" s="294">
        <v>9.9</v>
      </c>
      <c r="G1694" s="308">
        <f t="shared" si="251"/>
        <v>7.675933510000001</v>
      </c>
      <c r="H1694" s="294">
        <v>124.7</v>
      </c>
      <c r="I1694" s="306">
        <v>0.82599999999999996</v>
      </c>
      <c r="J1694" s="307">
        <v>0.68</v>
      </c>
      <c r="K1694" s="294">
        <f t="shared" si="249"/>
        <v>2.2624</v>
      </c>
      <c r="L1694" s="294">
        <f t="shared" si="250"/>
        <v>0.54947914156562316</v>
      </c>
      <c r="M1694" s="309">
        <f>$I$1694*L1694*(G1694/K1694)+$J$1694</f>
        <v>2.2199019553934805</v>
      </c>
      <c r="N1694" s="294">
        <v>0</v>
      </c>
      <c r="O1694" s="294" t="str">
        <f t="shared" si="247"/>
        <v/>
      </c>
      <c r="P1694" s="294">
        <f>AVERAGE(O1694:O1705)</f>
        <v>6.3019797957860328</v>
      </c>
    </row>
    <row r="1695" spans="1:16">
      <c r="A1695" s="294"/>
      <c r="B1695" s="294" t="s">
        <v>633</v>
      </c>
      <c r="C1695" s="294" t="s">
        <v>424</v>
      </c>
      <c r="D1695" s="295" t="s">
        <v>1060</v>
      </c>
      <c r="E1695" s="296">
        <v>2</v>
      </c>
      <c r="F1695" s="294">
        <v>9.3000000000000007</v>
      </c>
      <c r="G1695" s="308">
        <f t="shared" si="251"/>
        <v>9.0901977799999987</v>
      </c>
      <c r="H1695" s="294">
        <v>102.6</v>
      </c>
      <c r="I1695" s="297"/>
      <c r="J1695" s="297"/>
      <c r="K1695" s="294">
        <f t="shared" si="249"/>
        <v>2.2768000000000002</v>
      </c>
      <c r="L1695" s="294">
        <f t="shared" si="250"/>
        <v>0.5410323242451861</v>
      </c>
      <c r="M1695" s="309">
        <f t="shared" ref="M1695:M1705" si="253">$I$1694*L1695*(G1695/K1695)+$J$1694</f>
        <v>2.4642335856734325</v>
      </c>
      <c r="N1695" s="294">
        <v>0</v>
      </c>
      <c r="O1695" s="294" t="str">
        <f t="shared" si="247"/>
        <v/>
      </c>
      <c r="P1695" s="294"/>
    </row>
    <row r="1696" spans="1:16">
      <c r="A1696" s="294"/>
      <c r="B1696" s="294" t="s">
        <v>633</v>
      </c>
      <c r="C1696" s="294" t="s">
        <v>424</v>
      </c>
      <c r="D1696" s="295" t="s">
        <v>1060</v>
      </c>
      <c r="E1696" s="296">
        <v>3</v>
      </c>
      <c r="F1696" s="294">
        <v>12.5</v>
      </c>
      <c r="G1696" s="308">
        <f t="shared" si="251"/>
        <v>13.84085393</v>
      </c>
      <c r="H1696" s="294">
        <v>171.1</v>
      </c>
      <c r="I1696" s="297"/>
      <c r="J1696" s="297"/>
      <c r="K1696" s="294">
        <f t="shared" si="249"/>
        <v>2.2000000000000002</v>
      </c>
      <c r="L1696" s="294">
        <f t="shared" si="250"/>
        <v>0.58547499969373429</v>
      </c>
      <c r="M1696" s="309">
        <f t="shared" si="253"/>
        <v>3.7224861286606084</v>
      </c>
      <c r="N1696" s="294">
        <v>0</v>
      </c>
      <c r="O1696" s="294" t="str">
        <f t="shared" si="247"/>
        <v/>
      </c>
      <c r="P1696" s="294"/>
    </row>
    <row r="1697" spans="1:16">
      <c r="A1697" s="294"/>
      <c r="B1697" s="294" t="s">
        <v>633</v>
      </c>
      <c r="C1697" s="294" t="s">
        <v>424</v>
      </c>
      <c r="D1697" s="295" t="s">
        <v>1060</v>
      </c>
      <c r="E1697" s="296">
        <v>4</v>
      </c>
      <c r="F1697" s="294">
        <v>18.2</v>
      </c>
      <c r="G1697" s="308">
        <f t="shared" si="251"/>
        <v>12.99024079</v>
      </c>
      <c r="H1697" s="294">
        <v>110.3</v>
      </c>
      <c r="I1697" s="297"/>
      <c r="J1697" s="297"/>
      <c r="K1697" s="294">
        <f t="shared" si="249"/>
        <v>2.0632000000000001</v>
      </c>
      <c r="L1697" s="294">
        <f t="shared" si="250"/>
        <v>0.65947610324529615</v>
      </c>
      <c r="M1697" s="309">
        <f t="shared" si="253"/>
        <v>4.1096909116481317</v>
      </c>
      <c r="N1697" s="294">
        <v>0</v>
      </c>
      <c r="O1697" s="294" t="str">
        <f t="shared" si="247"/>
        <v/>
      </c>
      <c r="P1697" s="294"/>
    </row>
    <row r="1698" spans="1:16">
      <c r="A1698" s="294"/>
      <c r="B1698" s="294" t="s">
        <v>633</v>
      </c>
      <c r="C1698" s="294" t="s">
        <v>424</v>
      </c>
      <c r="D1698" s="295" t="s">
        <v>1060</v>
      </c>
      <c r="E1698" s="296">
        <v>5</v>
      </c>
      <c r="F1698" s="294">
        <v>20.3</v>
      </c>
      <c r="G1698" s="308">
        <f t="shared" si="251"/>
        <v>17.510472660000001</v>
      </c>
      <c r="H1698" s="294">
        <v>170.2</v>
      </c>
      <c r="I1698" s="297"/>
      <c r="J1698" s="297"/>
      <c r="K1698" s="294">
        <f t="shared" si="249"/>
        <v>2.0127999999999999</v>
      </c>
      <c r="L1698" s="294">
        <f t="shared" si="250"/>
        <v>0.6845562077113948</v>
      </c>
      <c r="M1698" s="309">
        <f t="shared" si="253"/>
        <v>5.5991085449296421</v>
      </c>
      <c r="N1698" s="294">
        <v>0</v>
      </c>
      <c r="O1698" s="294" t="str">
        <f t="shared" si="247"/>
        <v/>
      </c>
      <c r="P1698" s="294"/>
    </row>
    <row r="1699" spans="1:16">
      <c r="A1699" s="294"/>
      <c r="B1699" s="294" t="s">
        <v>633</v>
      </c>
      <c r="C1699" s="294" t="s">
        <v>424</v>
      </c>
      <c r="D1699" s="295" t="s">
        <v>1060</v>
      </c>
      <c r="E1699" s="296">
        <v>6</v>
      </c>
      <c r="F1699" s="294">
        <v>22.4</v>
      </c>
      <c r="G1699" s="308">
        <f t="shared" si="251"/>
        <v>12.40952459</v>
      </c>
      <c r="H1699" s="294">
        <v>56.3</v>
      </c>
      <c r="I1699" s="297"/>
      <c r="J1699" s="297"/>
      <c r="K1699" s="294">
        <f t="shared" si="249"/>
        <v>1.9624000000000001</v>
      </c>
      <c r="L1699" s="294">
        <f t="shared" si="250"/>
        <v>0.70828368713210621</v>
      </c>
      <c r="M1699" s="309">
        <f t="shared" si="253"/>
        <v>4.3796010626608215</v>
      </c>
      <c r="N1699" s="294">
        <v>0</v>
      </c>
      <c r="O1699" s="294" t="str">
        <f t="shared" si="247"/>
        <v/>
      </c>
      <c r="P1699" s="294"/>
    </row>
    <row r="1700" spans="1:16">
      <c r="A1700" s="294"/>
      <c r="B1700" s="294" t="s">
        <v>633</v>
      </c>
      <c r="C1700" s="294" t="s">
        <v>424</v>
      </c>
      <c r="D1700" s="295" t="s">
        <v>1060</v>
      </c>
      <c r="E1700" s="296">
        <v>7</v>
      </c>
      <c r="F1700" s="294">
        <v>26</v>
      </c>
      <c r="G1700" s="308">
        <f t="shared" si="251"/>
        <v>15.295289049999999</v>
      </c>
      <c r="H1700" s="294">
        <v>128.5</v>
      </c>
      <c r="I1700" s="297"/>
      <c r="J1700" s="297"/>
      <c r="K1700" s="294">
        <f t="shared" si="249"/>
        <v>1.8759999999999999</v>
      </c>
      <c r="L1700" s="294">
        <f t="shared" si="250"/>
        <v>0.74563054537472673</v>
      </c>
      <c r="M1700" s="309">
        <f t="shared" si="253"/>
        <v>5.7014436436188021</v>
      </c>
      <c r="N1700" s="294">
        <v>1</v>
      </c>
      <c r="O1700" s="294">
        <f t="shared" si="247"/>
        <v>5.7014436436188021</v>
      </c>
      <c r="P1700" s="294"/>
    </row>
    <row r="1701" spans="1:16">
      <c r="A1701" s="294"/>
      <c r="B1701" s="294" t="s">
        <v>633</v>
      </c>
      <c r="C1701" s="294" t="s">
        <v>424</v>
      </c>
      <c r="D1701" s="295" t="s">
        <v>1060</v>
      </c>
      <c r="E1701" s="296">
        <v>8</v>
      </c>
      <c r="F1701" s="294">
        <v>27.1</v>
      </c>
      <c r="G1701" s="308">
        <f t="shared" si="251"/>
        <v>18.426251770000004</v>
      </c>
      <c r="H1701" s="294">
        <v>213.9</v>
      </c>
      <c r="I1701" s="297"/>
      <c r="J1701" s="297"/>
      <c r="K1701" s="294">
        <f t="shared" si="249"/>
        <v>1.8495999999999999</v>
      </c>
      <c r="L1701" s="294">
        <f t="shared" si="250"/>
        <v>0.7561827862483661</v>
      </c>
      <c r="M1701" s="309">
        <f t="shared" si="253"/>
        <v>6.9025159479532636</v>
      </c>
      <c r="N1701" s="294">
        <v>1</v>
      </c>
      <c r="O1701" s="294">
        <f t="shared" si="247"/>
        <v>6.9025159479532636</v>
      </c>
      <c r="P1701" s="294"/>
    </row>
    <row r="1702" spans="1:16">
      <c r="A1702" s="294"/>
      <c r="B1702" s="294" t="s">
        <v>633</v>
      </c>
      <c r="C1702" s="294" t="s">
        <v>424</v>
      </c>
      <c r="D1702" s="295" t="s">
        <v>1060</v>
      </c>
      <c r="E1702" s="296">
        <v>9</v>
      </c>
      <c r="F1702" s="294">
        <v>24.2</v>
      </c>
      <c r="G1702" s="308">
        <f t="shared" si="251"/>
        <v>14.275783149999999</v>
      </c>
      <c r="H1702" s="294">
        <v>161.5</v>
      </c>
      <c r="I1702" s="297"/>
      <c r="J1702" s="297"/>
      <c r="K1702" s="294">
        <f t="shared" si="249"/>
        <v>1.9192</v>
      </c>
      <c r="L1702" s="294">
        <f t="shared" si="250"/>
        <v>0.72749228525326781</v>
      </c>
      <c r="M1702" s="309">
        <f t="shared" si="253"/>
        <v>5.1498005736013894</v>
      </c>
      <c r="N1702" s="294">
        <v>0</v>
      </c>
      <c r="O1702" s="294" t="str">
        <f t="shared" si="247"/>
        <v/>
      </c>
      <c r="P1702" s="294"/>
    </row>
    <row r="1703" spans="1:16">
      <c r="A1703" s="294"/>
      <c r="B1703" s="294" t="s">
        <v>633</v>
      </c>
      <c r="C1703" s="294" t="s">
        <v>424</v>
      </c>
      <c r="D1703" s="295" t="s">
        <v>1060</v>
      </c>
      <c r="E1703" s="296">
        <v>10</v>
      </c>
      <c r="F1703" s="294">
        <v>19.8</v>
      </c>
      <c r="G1703" s="308">
        <f t="shared" si="251"/>
        <v>14.374466339999998</v>
      </c>
      <c r="H1703" s="294">
        <v>229.8</v>
      </c>
      <c r="I1703" s="297"/>
      <c r="J1703" s="297"/>
      <c r="K1703" s="294">
        <f t="shared" si="249"/>
        <v>2.0247999999999999</v>
      </c>
      <c r="L1703" s="294">
        <f t="shared" si="250"/>
        <v>0.67870424089302206</v>
      </c>
      <c r="M1703" s="309">
        <f t="shared" si="253"/>
        <v>4.6598821144455895</v>
      </c>
      <c r="N1703" s="294">
        <v>0</v>
      </c>
      <c r="O1703" s="294" t="str">
        <f t="shared" si="247"/>
        <v/>
      </c>
      <c r="P1703" s="294"/>
    </row>
    <row r="1704" spans="1:16">
      <c r="A1704" s="294"/>
      <c r="B1704" s="294" t="s">
        <v>633</v>
      </c>
      <c r="C1704" s="294" t="s">
        <v>424</v>
      </c>
      <c r="D1704" s="295" t="s">
        <v>1060</v>
      </c>
      <c r="E1704" s="296">
        <v>11</v>
      </c>
      <c r="F1704" s="294">
        <v>17.899999999999999</v>
      </c>
      <c r="G1704" s="308">
        <f t="shared" si="251"/>
        <v>7.5370769099999997</v>
      </c>
      <c r="H1704" s="294">
        <v>108.7</v>
      </c>
      <c r="I1704" s="297"/>
      <c r="J1704" s="297"/>
      <c r="K1704" s="294">
        <f t="shared" si="249"/>
        <v>2.0704000000000002</v>
      </c>
      <c r="L1704" s="294">
        <f t="shared" si="250"/>
        <v>0.6557882102782896</v>
      </c>
      <c r="M1704" s="309">
        <f t="shared" si="253"/>
        <v>2.6519338401502042</v>
      </c>
      <c r="N1704" s="294">
        <v>0</v>
      </c>
      <c r="O1704" s="294" t="str">
        <f t="shared" si="247"/>
        <v/>
      </c>
      <c r="P1704" s="294"/>
    </row>
    <row r="1705" spans="1:16">
      <c r="A1705" s="294"/>
      <c r="B1705" s="294" t="s">
        <v>633</v>
      </c>
      <c r="C1705" s="294" t="s">
        <v>424</v>
      </c>
      <c r="D1705" s="295" t="s">
        <v>1060</v>
      </c>
      <c r="E1705" s="296">
        <v>12</v>
      </c>
      <c r="F1705" s="294">
        <v>12.7</v>
      </c>
      <c r="G1705" s="308">
        <f t="shared" si="251"/>
        <v>7.3844334799999993</v>
      </c>
      <c r="H1705" s="294">
        <v>133.6</v>
      </c>
      <c r="I1705" s="297"/>
      <c r="J1705" s="297"/>
      <c r="K1705" s="294">
        <f t="shared" si="249"/>
        <v>2.1951999999999998</v>
      </c>
      <c r="L1705" s="294">
        <f t="shared" si="250"/>
        <v>0.58819589909700976</v>
      </c>
      <c r="M1705" s="309">
        <f t="shared" si="253"/>
        <v>2.3143502290519704</v>
      </c>
      <c r="N1705" s="294">
        <v>0</v>
      </c>
      <c r="O1705" s="294" t="str">
        <f t="shared" si="247"/>
        <v/>
      </c>
      <c r="P1705" s="294"/>
    </row>
    <row r="1706" spans="1:16">
      <c r="A1706" s="294">
        <v>143</v>
      </c>
      <c r="B1706" s="294" t="s">
        <v>633</v>
      </c>
      <c r="C1706" s="294" t="s">
        <v>635</v>
      </c>
      <c r="D1706" s="295" t="s">
        <v>1060</v>
      </c>
      <c r="E1706" s="296">
        <v>1</v>
      </c>
      <c r="F1706" s="294">
        <v>12.3</v>
      </c>
      <c r="G1706" s="308">
        <f t="shared" si="251"/>
        <v>6.39684118</v>
      </c>
      <c r="H1706" s="294">
        <v>96.6</v>
      </c>
      <c r="I1706" s="306">
        <v>0.85399999999999998</v>
      </c>
      <c r="J1706" s="307">
        <v>1.1599999999999999</v>
      </c>
      <c r="K1706" s="294">
        <f t="shared" si="249"/>
        <v>2.2048000000000001</v>
      </c>
      <c r="L1706" s="294">
        <f t="shared" si="250"/>
        <v>0.58274654668128933</v>
      </c>
      <c r="M1706" s="309">
        <f>$I$1706*L1706*(G1706/K1706)+$J$1706</f>
        <v>2.6038894637363335</v>
      </c>
      <c r="N1706" s="294">
        <v>0</v>
      </c>
      <c r="O1706" s="294" t="str">
        <f t="shared" si="247"/>
        <v/>
      </c>
      <c r="P1706" s="294">
        <f>AVERAGE(O1706:O1717)</f>
        <v>6.8785970120081448</v>
      </c>
    </row>
    <row r="1707" spans="1:16">
      <c r="A1707" s="294"/>
      <c r="B1707" s="294" t="s">
        <v>633</v>
      </c>
      <c r="C1707" s="294" t="s">
        <v>635</v>
      </c>
      <c r="D1707" s="295" t="s">
        <v>1060</v>
      </c>
      <c r="E1707" s="296">
        <v>2</v>
      </c>
      <c r="F1707" s="294">
        <v>11.6</v>
      </c>
      <c r="G1707" s="308">
        <f t="shared" si="251"/>
        <v>7.8156573799999993</v>
      </c>
      <c r="H1707" s="294">
        <v>74.599999999999994</v>
      </c>
      <c r="I1707" s="297"/>
      <c r="J1707" s="297"/>
      <c r="K1707" s="294">
        <f t="shared" si="249"/>
        <v>2.2216</v>
      </c>
      <c r="L1707" s="294">
        <f t="shared" si="250"/>
        <v>0.57313992557863624</v>
      </c>
      <c r="M1707" s="309">
        <f t="shared" ref="M1707:M1717" si="254">$I$1706*L1707*(G1707/K1707)+$J$1706</f>
        <v>2.8819406539924404</v>
      </c>
      <c r="N1707" s="294">
        <v>0</v>
      </c>
      <c r="O1707" s="294" t="str">
        <f t="shared" si="247"/>
        <v/>
      </c>
      <c r="P1707" s="294"/>
    </row>
    <row r="1708" spans="1:16">
      <c r="A1708" s="294"/>
      <c r="B1708" s="294" t="s">
        <v>633</v>
      </c>
      <c r="C1708" s="294" t="s">
        <v>635</v>
      </c>
      <c r="D1708" s="295" t="s">
        <v>1060</v>
      </c>
      <c r="E1708" s="296">
        <v>3</v>
      </c>
      <c r="F1708" s="294">
        <v>14.5</v>
      </c>
      <c r="G1708" s="308">
        <f t="shared" si="251"/>
        <v>11.492058050000001</v>
      </c>
      <c r="H1708" s="294">
        <v>119.5</v>
      </c>
      <c r="I1708" s="297"/>
      <c r="J1708" s="297"/>
      <c r="K1708" s="294">
        <f t="shared" si="249"/>
        <v>2.1520000000000001</v>
      </c>
      <c r="L1708" s="294">
        <f t="shared" si="250"/>
        <v>0.61231732805409467</v>
      </c>
      <c r="M1708" s="309">
        <f t="shared" si="254"/>
        <v>3.9524793133279932</v>
      </c>
      <c r="N1708" s="294">
        <v>0</v>
      </c>
      <c r="O1708" s="294" t="str">
        <f t="shared" si="247"/>
        <v/>
      </c>
      <c r="P1708" s="294"/>
    </row>
    <row r="1709" spans="1:16">
      <c r="A1709" s="294"/>
      <c r="B1709" s="294" t="s">
        <v>633</v>
      </c>
      <c r="C1709" s="294" t="s">
        <v>635</v>
      </c>
      <c r="D1709" s="295" t="s">
        <v>1060</v>
      </c>
      <c r="E1709" s="296">
        <v>4</v>
      </c>
      <c r="F1709" s="294">
        <v>19.399999999999999</v>
      </c>
      <c r="G1709" s="308">
        <f t="shared" si="251"/>
        <v>13.518264670000001</v>
      </c>
      <c r="H1709" s="294">
        <v>121.9</v>
      </c>
      <c r="I1709" s="297"/>
      <c r="J1709" s="297"/>
      <c r="K1709" s="294">
        <f t="shared" si="249"/>
        <v>2.0344000000000002</v>
      </c>
      <c r="L1709" s="294">
        <f t="shared" si="250"/>
        <v>0.67396814722434939</v>
      </c>
      <c r="M1709" s="309">
        <f t="shared" si="254"/>
        <v>4.9845631849696961</v>
      </c>
      <c r="N1709" s="294">
        <v>0</v>
      </c>
      <c r="O1709" s="294" t="str">
        <f t="shared" si="247"/>
        <v/>
      </c>
      <c r="P1709" s="294"/>
    </row>
    <row r="1710" spans="1:16">
      <c r="A1710" s="294"/>
      <c r="B1710" s="294" t="s">
        <v>633</v>
      </c>
      <c r="C1710" s="294" t="s">
        <v>635</v>
      </c>
      <c r="D1710" s="295" t="s">
        <v>1060</v>
      </c>
      <c r="E1710" s="296">
        <v>5</v>
      </c>
      <c r="F1710" s="294">
        <v>20.9</v>
      </c>
      <c r="G1710" s="308">
        <f t="shared" si="251"/>
        <v>15.703356450000001</v>
      </c>
      <c r="H1710" s="294">
        <v>130.5</v>
      </c>
      <c r="I1710" s="297"/>
      <c r="J1710" s="297"/>
      <c r="K1710" s="294">
        <f t="shared" si="249"/>
        <v>1.9984000000000002</v>
      </c>
      <c r="L1710" s="294">
        <f t="shared" si="250"/>
        <v>0.69147707180847306</v>
      </c>
      <c r="M1710" s="309">
        <f t="shared" si="254"/>
        <v>5.800296406631074</v>
      </c>
      <c r="N1710" s="294">
        <v>0</v>
      </c>
      <c r="O1710" s="294" t="str">
        <f t="shared" si="247"/>
        <v/>
      </c>
      <c r="P1710" s="294"/>
    </row>
    <row r="1711" spans="1:16">
      <c r="A1711" s="294"/>
      <c r="B1711" s="294" t="s">
        <v>633</v>
      </c>
      <c r="C1711" s="294" t="s">
        <v>635</v>
      </c>
      <c r="D1711" s="295" t="s">
        <v>1060</v>
      </c>
      <c r="E1711" s="296">
        <v>6</v>
      </c>
      <c r="F1711" s="294">
        <v>23.3</v>
      </c>
      <c r="G1711" s="308">
        <f t="shared" si="251"/>
        <v>11.307957529999999</v>
      </c>
      <c r="H1711" s="294">
        <v>32.1</v>
      </c>
      <c r="I1711" s="297"/>
      <c r="J1711" s="297"/>
      <c r="K1711" s="294">
        <f t="shared" si="249"/>
        <v>1.9407999999999999</v>
      </c>
      <c r="L1711" s="294">
        <f t="shared" si="250"/>
        <v>0.71802052338175526</v>
      </c>
      <c r="M1711" s="309">
        <f t="shared" si="254"/>
        <v>4.7327128652077226</v>
      </c>
      <c r="N1711" s="294">
        <v>0</v>
      </c>
      <c r="O1711" s="294" t="str">
        <f t="shared" si="247"/>
        <v/>
      </c>
      <c r="P1711" s="294"/>
    </row>
    <row r="1712" spans="1:16">
      <c r="A1712" s="294"/>
      <c r="B1712" s="294" t="s">
        <v>633</v>
      </c>
      <c r="C1712" s="294" t="s">
        <v>635</v>
      </c>
      <c r="D1712" s="295" t="s">
        <v>1060</v>
      </c>
      <c r="E1712" s="296">
        <v>7</v>
      </c>
      <c r="F1712" s="294">
        <v>25.9</v>
      </c>
      <c r="G1712" s="308">
        <f t="shared" si="251"/>
        <v>15.254321679999999</v>
      </c>
      <c r="H1712" s="294">
        <v>127.6</v>
      </c>
      <c r="I1712" s="297"/>
      <c r="J1712" s="297"/>
      <c r="K1712" s="294">
        <f t="shared" si="249"/>
        <v>1.8784000000000001</v>
      </c>
      <c r="L1712" s="294">
        <f t="shared" si="250"/>
        <v>0.7446511958168045</v>
      </c>
      <c r="M1712" s="309">
        <f t="shared" si="254"/>
        <v>6.3243489905503729</v>
      </c>
      <c r="N1712" s="294">
        <v>1</v>
      </c>
      <c r="O1712" s="294">
        <f t="shared" si="247"/>
        <v>6.3243489905503729</v>
      </c>
      <c r="P1712" s="294"/>
    </row>
    <row r="1713" spans="1:16">
      <c r="A1713" s="294"/>
      <c r="B1713" s="294" t="s">
        <v>633</v>
      </c>
      <c r="C1713" s="294" t="s">
        <v>635</v>
      </c>
      <c r="D1713" s="295" t="s">
        <v>1060</v>
      </c>
      <c r="E1713" s="296">
        <v>8</v>
      </c>
      <c r="F1713" s="294">
        <v>27</v>
      </c>
      <c r="G1713" s="308">
        <f t="shared" si="251"/>
        <v>18.01202614</v>
      </c>
      <c r="H1713" s="294">
        <v>204.8</v>
      </c>
      <c r="I1713" s="297"/>
      <c r="J1713" s="297"/>
      <c r="K1713" s="294">
        <f t="shared" si="249"/>
        <v>1.8519999999999999</v>
      </c>
      <c r="L1713" s="294">
        <f t="shared" si="250"/>
        <v>0.75524020561421423</v>
      </c>
      <c r="M1713" s="309">
        <f t="shared" si="254"/>
        <v>7.4328450334659175</v>
      </c>
      <c r="N1713" s="294">
        <v>1</v>
      </c>
      <c r="O1713" s="294">
        <f t="shared" si="247"/>
        <v>7.4328450334659175</v>
      </c>
      <c r="P1713" s="294"/>
    </row>
    <row r="1714" spans="1:16">
      <c r="A1714" s="294"/>
      <c r="B1714" s="294" t="s">
        <v>633</v>
      </c>
      <c r="C1714" s="294" t="s">
        <v>635</v>
      </c>
      <c r="D1714" s="295" t="s">
        <v>1060</v>
      </c>
      <c r="E1714" s="296">
        <v>9</v>
      </c>
      <c r="F1714" s="294">
        <v>24.5</v>
      </c>
      <c r="G1714" s="308">
        <f t="shared" ref="G1714:G1741" si="255">$T$11+$T$12*H1714+INDEX($T$13:$T$24,MATCH(E1714,$S$13:$S$24,0),1)</f>
        <v>11.68118305</v>
      </c>
      <c r="H1714" s="294">
        <v>104.5</v>
      </c>
      <c r="I1714" s="297"/>
      <c r="J1714" s="297"/>
      <c r="K1714" s="294">
        <f t="shared" si="249"/>
        <v>1.9119999999999999</v>
      </c>
      <c r="L1714" s="294">
        <f t="shared" si="250"/>
        <v>0.73059013321207966</v>
      </c>
      <c r="M1714" s="309">
        <f t="shared" si="254"/>
        <v>4.971804470089098</v>
      </c>
      <c r="N1714" s="294">
        <v>0</v>
      </c>
      <c r="O1714" s="294" t="str">
        <f t="shared" si="247"/>
        <v/>
      </c>
      <c r="P1714" s="294"/>
    </row>
    <row r="1715" spans="1:16">
      <c r="A1715" s="294"/>
      <c r="B1715" s="294" t="s">
        <v>633</v>
      </c>
      <c r="C1715" s="294" t="s">
        <v>635</v>
      </c>
      <c r="D1715" s="295" t="s">
        <v>1060</v>
      </c>
      <c r="E1715" s="296">
        <v>10</v>
      </c>
      <c r="F1715" s="294">
        <v>21.9</v>
      </c>
      <c r="G1715" s="308">
        <f t="shared" si="255"/>
        <v>10.764785849999999</v>
      </c>
      <c r="H1715" s="294">
        <v>150.5</v>
      </c>
      <c r="I1715" s="297"/>
      <c r="J1715" s="297"/>
      <c r="K1715" s="294">
        <f t="shared" si="249"/>
        <v>1.9744000000000002</v>
      </c>
      <c r="L1715" s="294">
        <f t="shared" si="250"/>
        <v>0.70276111711361078</v>
      </c>
      <c r="M1715" s="309">
        <f t="shared" si="254"/>
        <v>4.4321699157907766</v>
      </c>
      <c r="N1715" s="294">
        <v>0</v>
      </c>
      <c r="O1715" s="294" t="str">
        <f t="shared" si="247"/>
        <v/>
      </c>
      <c r="P1715" s="294"/>
    </row>
    <row r="1716" spans="1:16">
      <c r="A1716" s="294"/>
      <c r="B1716" s="294" t="s">
        <v>633</v>
      </c>
      <c r="C1716" s="294" t="s">
        <v>635</v>
      </c>
      <c r="D1716" s="295" t="s">
        <v>1060</v>
      </c>
      <c r="E1716" s="296">
        <v>11</v>
      </c>
      <c r="F1716" s="294">
        <v>19.5</v>
      </c>
      <c r="G1716" s="308">
        <f t="shared" si="255"/>
        <v>5.5433315699999994</v>
      </c>
      <c r="H1716" s="294">
        <v>64.900000000000006</v>
      </c>
      <c r="I1716" s="297"/>
      <c r="J1716" s="297"/>
      <c r="K1716" s="294">
        <f t="shared" si="249"/>
        <v>2.032</v>
      </c>
      <c r="L1716" s="294">
        <f t="shared" si="250"/>
        <v>0.67515667435506088</v>
      </c>
      <c r="M1716" s="309">
        <f t="shared" si="254"/>
        <v>2.7329306991790938</v>
      </c>
      <c r="N1716" s="294">
        <v>0</v>
      </c>
      <c r="O1716" s="294" t="str">
        <f t="shared" si="247"/>
        <v/>
      </c>
      <c r="P1716" s="294"/>
    </row>
    <row r="1717" spans="1:16">
      <c r="A1717" s="294"/>
      <c r="B1717" s="294" t="s">
        <v>633</v>
      </c>
      <c r="C1717" s="294" t="s">
        <v>635</v>
      </c>
      <c r="D1717" s="295" t="s">
        <v>1060</v>
      </c>
      <c r="E1717" s="296">
        <v>12</v>
      </c>
      <c r="F1717" s="294">
        <v>15.4</v>
      </c>
      <c r="G1717" s="308">
        <f t="shared" si="255"/>
        <v>4.3710558199999996</v>
      </c>
      <c r="H1717" s="294">
        <v>67.400000000000006</v>
      </c>
      <c r="I1717" s="297"/>
      <c r="J1717" s="297"/>
      <c r="K1717" s="294">
        <f t="shared" si="249"/>
        <v>2.1303999999999998</v>
      </c>
      <c r="L1717" s="294">
        <f t="shared" si="250"/>
        <v>0.62410798525255673</v>
      </c>
      <c r="M1717" s="309">
        <f t="shared" si="254"/>
        <v>2.2535604855541913</v>
      </c>
      <c r="N1717" s="294">
        <v>0</v>
      </c>
      <c r="O1717" s="294" t="str">
        <f t="shared" si="247"/>
        <v/>
      </c>
      <c r="P1717" s="294"/>
    </row>
    <row r="1718" spans="1:16">
      <c r="A1718" s="294">
        <v>144</v>
      </c>
      <c r="B1718" s="294" t="s">
        <v>633</v>
      </c>
      <c r="C1718" s="294" t="s">
        <v>636</v>
      </c>
      <c r="D1718" s="295" t="s">
        <v>1060</v>
      </c>
      <c r="E1718" s="296">
        <v>1</v>
      </c>
      <c r="F1718" s="294">
        <v>12.2</v>
      </c>
      <c r="G1718" s="308">
        <f t="shared" si="255"/>
        <v>7.8944261500000001</v>
      </c>
      <c r="H1718" s="294">
        <v>129.5</v>
      </c>
      <c r="I1718" s="306">
        <v>0.66</v>
      </c>
      <c r="J1718" s="307">
        <v>1.2</v>
      </c>
      <c r="K1718" s="294">
        <f t="shared" si="249"/>
        <v>2.2071999999999998</v>
      </c>
      <c r="L1718" s="294">
        <f t="shared" si="250"/>
        <v>0.58137954011732995</v>
      </c>
      <c r="M1718" s="309">
        <f>$I$1718*L1718*(G1718/K1718)+$J$1718</f>
        <v>2.5724058433404169</v>
      </c>
      <c r="N1718" s="294">
        <v>0</v>
      </c>
      <c r="O1718" s="294" t="str">
        <f t="shared" si="247"/>
        <v/>
      </c>
      <c r="P1718" s="294">
        <f>AVERAGE(O1718:O1729)</f>
        <v>5.7394231003273681</v>
      </c>
    </row>
    <row r="1719" spans="1:16">
      <c r="A1719" s="294"/>
      <c r="B1719" s="294" t="s">
        <v>633</v>
      </c>
      <c r="C1719" s="294" t="s">
        <v>636</v>
      </c>
      <c r="D1719" s="295" t="s">
        <v>1060</v>
      </c>
      <c r="E1719" s="296">
        <v>2</v>
      </c>
      <c r="F1719" s="294">
        <v>11.5</v>
      </c>
      <c r="G1719" s="308">
        <f t="shared" si="255"/>
        <v>9.0583342699999996</v>
      </c>
      <c r="H1719" s="294">
        <v>101.9</v>
      </c>
      <c r="I1719" s="297"/>
      <c r="J1719" s="297"/>
      <c r="K1719" s="294">
        <f t="shared" si="249"/>
        <v>2.2240000000000002</v>
      </c>
      <c r="L1719" s="294">
        <f t="shared" si="250"/>
        <v>0.57176059614784436</v>
      </c>
      <c r="M1719" s="309">
        <f t="shared" ref="M1719:M1729" si="256">$I$1718*L1719*(G1719/K1719)+$J$1718</f>
        <v>2.7369923909767482</v>
      </c>
      <c r="N1719" s="294">
        <v>0</v>
      </c>
      <c r="O1719" s="294" t="str">
        <f t="shared" si="247"/>
        <v/>
      </c>
      <c r="P1719" s="294"/>
    </row>
    <row r="1720" spans="1:16">
      <c r="A1720" s="294"/>
      <c r="B1720" s="294" t="s">
        <v>633</v>
      </c>
      <c r="C1720" s="294" t="s">
        <v>636</v>
      </c>
      <c r="D1720" s="295" t="s">
        <v>1060</v>
      </c>
      <c r="E1720" s="296">
        <v>3</v>
      </c>
      <c r="F1720" s="294">
        <v>14.4</v>
      </c>
      <c r="G1720" s="308">
        <f t="shared" si="255"/>
        <v>12.52079423</v>
      </c>
      <c r="H1720" s="294">
        <v>142.1</v>
      </c>
      <c r="I1720" s="297"/>
      <c r="J1720" s="297"/>
      <c r="K1720" s="294">
        <f t="shared" si="249"/>
        <v>2.1543999999999999</v>
      </c>
      <c r="L1720" s="294">
        <f t="shared" si="250"/>
        <v>0.61099561633520971</v>
      </c>
      <c r="M1720" s="309">
        <f t="shared" si="256"/>
        <v>3.5436220088159232</v>
      </c>
      <c r="N1720" s="294">
        <v>0</v>
      </c>
      <c r="O1720" s="294" t="str">
        <f t="shared" si="247"/>
        <v/>
      </c>
      <c r="P1720" s="294"/>
    </row>
    <row r="1721" spans="1:16">
      <c r="A1721" s="294"/>
      <c r="B1721" s="294" t="s">
        <v>633</v>
      </c>
      <c r="C1721" s="294" t="s">
        <v>636</v>
      </c>
      <c r="D1721" s="295" t="s">
        <v>1060</v>
      </c>
      <c r="E1721" s="296">
        <v>4</v>
      </c>
      <c r="F1721" s="294">
        <v>19.600000000000001</v>
      </c>
      <c r="G1721" s="308">
        <f t="shared" si="255"/>
        <v>13.65482257</v>
      </c>
      <c r="H1721" s="294">
        <v>124.9</v>
      </c>
      <c r="I1721" s="297"/>
      <c r="J1721" s="297"/>
      <c r="K1721" s="294">
        <f t="shared" si="249"/>
        <v>2.0295999999999998</v>
      </c>
      <c r="L1721" s="294">
        <f t="shared" si="250"/>
        <v>0.67634220580418636</v>
      </c>
      <c r="M1721" s="309">
        <f t="shared" si="256"/>
        <v>4.2032122877052966</v>
      </c>
      <c r="N1721" s="294">
        <v>0</v>
      </c>
      <c r="O1721" s="294" t="str">
        <f t="shared" si="247"/>
        <v/>
      </c>
      <c r="P1721" s="294"/>
    </row>
    <row r="1722" spans="1:16">
      <c r="A1722" s="294"/>
      <c r="B1722" s="294" t="s">
        <v>633</v>
      </c>
      <c r="C1722" s="294" t="s">
        <v>636</v>
      </c>
      <c r="D1722" s="295" t="s">
        <v>1060</v>
      </c>
      <c r="E1722" s="296">
        <v>5</v>
      </c>
      <c r="F1722" s="294">
        <v>20.9</v>
      </c>
      <c r="G1722" s="308">
        <f t="shared" si="255"/>
        <v>16.55456736</v>
      </c>
      <c r="H1722" s="294">
        <v>149.19999999999999</v>
      </c>
      <c r="I1722" s="297"/>
      <c r="J1722" s="297"/>
      <c r="K1722" s="294">
        <f t="shared" si="249"/>
        <v>1.9984000000000002</v>
      </c>
      <c r="L1722" s="294">
        <f t="shared" si="250"/>
        <v>0.69147707180847306</v>
      </c>
      <c r="M1722" s="309">
        <f t="shared" si="256"/>
        <v>4.9805686967965821</v>
      </c>
      <c r="N1722" s="294">
        <v>0</v>
      </c>
      <c r="O1722" s="294" t="str">
        <f t="shared" si="247"/>
        <v/>
      </c>
      <c r="P1722" s="294"/>
    </row>
    <row r="1723" spans="1:16">
      <c r="A1723" s="294"/>
      <c r="B1723" s="294" t="s">
        <v>633</v>
      </c>
      <c r="C1723" s="294" t="s">
        <v>636</v>
      </c>
      <c r="D1723" s="295" t="s">
        <v>1060</v>
      </c>
      <c r="E1723" s="296">
        <v>6</v>
      </c>
      <c r="F1723" s="294">
        <v>23.1</v>
      </c>
      <c r="G1723" s="308">
        <f t="shared" si="255"/>
        <v>12.377661079999999</v>
      </c>
      <c r="H1723" s="294">
        <v>55.6</v>
      </c>
      <c r="I1723" s="297"/>
      <c r="J1723" s="297"/>
      <c r="K1723" s="294">
        <f t="shared" si="249"/>
        <v>1.9456</v>
      </c>
      <c r="L1723" s="294">
        <f t="shared" si="250"/>
        <v>0.71587957464624719</v>
      </c>
      <c r="M1723" s="309">
        <f t="shared" si="256"/>
        <v>4.2058612943993801</v>
      </c>
      <c r="N1723" s="294">
        <v>0</v>
      </c>
      <c r="O1723" s="294" t="str">
        <f t="shared" si="247"/>
        <v/>
      </c>
      <c r="P1723" s="294"/>
    </row>
    <row r="1724" spans="1:16">
      <c r="A1724" s="294"/>
      <c r="B1724" s="294" t="s">
        <v>633</v>
      </c>
      <c r="C1724" s="294" t="s">
        <v>636</v>
      </c>
      <c r="D1724" s="295" t="s">
        <v>1060</v>
      </c>
      <c r="E1724" s="296">
        <v>7</v>
      </c>
      <c r="F1724" s="294">
        <v>26</v>
      </c>
      <c r="G1724" s="308">
        <f t="shared" si="255"/>
        <v>15.623028010000001</v>
      </c>
      <c r="H1724" s="294">
        <v>135.69999999999999</v>
      </c>
      <c r="I1724" s="297"/>
      <c r="J1724" s="297"/>
      <c r="K1724" s="294">
        <f t="shared" si="249"/>
        <v>1.8759999999999999</v>
      </c>
      <c r="L1724" s="294">
        <f t="shared" si="250"/>
        <v>0.74563054537472673</v>
      </c>
      <c r="M1724" s="309">
        <f t="shared" si="256"/>
        <v>5.2982646860504357</v>
      </c>
      <c r="N1724" s="294">
        <v>1</v>
      </c>
      <c r="O1724" s="294">
        <f t="shared" si="247"/>
        <v>5.2982646860504357</v>
      </c>
      <c r="P1724" s="294"/>
    </row>
    <row r="1725" spans="1:16">
      <c r="A1725" s="294"/>
      <c r="B1725" s="294" t="s">
        <v>633</v>
      </c>
      <c r="C1725" s="294" t="s">
        <v>636</v>
      </c>
      <c r="D1725" s="295" t="s">
        <v>1060</v>
      </c>
      <c r="E1725" s="296">
        <v>8</v>
      </c>
      <c r="F1725" s="294">
        <v>27.6</v>
      </c>
      <c r="G1725" s="308">
        <f t="shared" si="255"/>
        <v>18.225966850000002</v>
      </c>
      <c r="H1725" s="294">
        <v>209.5</v>
      </c>
      <c r="I1725" s="297"/>
      <c r="J1725" s="297"/>
      <c r="K1725" s="294">
        <f t="shared" si="249"/>
        <v>1.8375999999999999</v>
      </c>
      <c r="L1725" s="294">
        <f t="shared" si="250"/>
        <v>0.76084558171787064</v>
      </c>
      <c r="M1725" s="309">
        <f t="shared" si="256"/>
        <v>6.1805815146043006</v>
      </c>
      <c r="N1725" s="294">
        <v>1</v>
      </c>
      <c r="O1725" s="294">
        <f t="shared" si="247"/>
        <v>6.1805815146043006</v>
      </c>
      <c r="P1725" s="294"/>
    </row>
    <row r="1726" spans="1:16">
      <c r="A1726" s="294"/>
      <c r="B1726" s="294" t="s">
        <v>633</v>
      </c>
      <c r="C1726" s="294" t="s">
        <v>636</v>
      </c>
      <c r="D1726" s="295" t="s">
        <v>1060</v>
      </c>
      <c r="E1726" s="296">
        <v>9</v>
      </c>
      <c r="F1726" s="294">
        <v>25</v>
      </c>
      <c r="G1726" s="308">
        <f t="shared" si="255"/>
        <v>13.597545579999998</v>
      </c>
      <c r="H1726" s="294">
        <v>146.6</v>
      </c>
      <c r="I1726" s="297"/>
      <c r="J1726" s="297"/>
      <c r="K1726" s="294">
        <f t="shared" si="249"/>
        <v>1.9</v>
      </c>
      <c r="L1726" s="294">
        <f t="shared" si="250"/>
        <v>0.73568686129580518</v>
      </c>
      <c r="M1726" s="309">
        <f t="shared" si="256"/>
        <v>4.6749123764161684</v>
      </c>
      <c r="N1726" s="294">
        <v>0</v>
      </c>
      <c r="O1726" s="294" t="str">
        <f t="shared" si="247"/>
        <v/>
      </c>
      <c r="P1726" s="294"/>
    </row>
    <row r="1727" spans="1:16">
      <c r="A1727" s="294"/>
      <c r="B1727" s="294" t="s">
        <v>633</v>
      </c>
      <c r="C1727" s="294" t="s">
        <v>636</v>
      </c>
      <c r="D1727" s="295" t="s">
        <v>1060</v>
      </c>
      <c r="E1727" s="296">
        <v>10</v>
      </c>
      <c r="F1727" s="294">
        <v>21.8</v>
      </c>
      <c r="G1727" s="308">
        <f t="shared" si="255"/>
        <v>13.03619892</v>
      </c>
      <c r="H1727" s="294">
        <v>200.4</v>
      </c>
      <c r="I1727" s="297"/>
      <c r="J1727" s="297"/>
      <c r="K1727" s="294">
        <f t="shared" si="249"/>
        <v>1.9767999999999999</v>
      </c>
      <c r="L1727" s="294">
        <f t="shared" si="250"/>
        <v>0.70164698620294608</v>
      </c>
      <c r="M1727" s="309">
        <f t="shared" si="256"/>
        <v>4.2538721121416776</v>
      </c>
      <c r="N1727" s="294">
        <v>0</v>
      </c>
      <c r="O1727" s="294" t="str">
        <f t="shared" si="247"/>
        <v/>
      </c>
      <c r="P1727" s="294"/>
    </row>
    <row r="1728" spans="1:16">
      <c r="A1728" s="294"/>
      <c r="B1728" s="294" t="s">
        <v>633</v>
      </c>
      <c r="C1728" s="294" t="s">
        <v>636</v>
      </c>
      <c r="D1728" s="295" t="s">
        <v>1060</v>
      </c>
      <c r="E1728" s="296">
        <v>11</v>
      </c>
      <c r="F1728" s="294">
        <v>19.600000000000001</v>
      </c>
      <c r="G1728" s="308">
        <f t="shared" si="255"/>
        <v>6.2352249299999993</v>
      </c>
      <c r="H1728" s="294">
        <v>80.099999999999994</v>
      </c>
      <c r="I1728" s="297"/>
      <c r="J1728" s="297"/>
      <c r="K1728" s="294">
        <f t="shared" si="249"/>
        <v>2.0295999999999998</v>
      </c>
      <c r="L1728" s="294">
        <f t="shared" si="250"/>
        <v>0.67634220580418636</v>
      </c>
      <c r="M1728" s="309">
        <f t="shared" si="256"/>
        <v>2.571361951456129</v>
      </c>
      <c r="N1728" s="294">
        <v>0</v>
      </c>
      <c r="O1728" s="294" t="str">
        <f t="shared" si="247"/>
        <v/>
      </c>
      <c r="P1728" s="294"/>
    </row>
    <row r="1729" spans="1:16">
      <c r="A1729" s="294"/>
      <c r="B1729" s="294" t="s">
        <v>633</v>
      </c>
      <c r="C1729" s="294" t="s">
        <v>636</v>
      </c>
      <c r="D1729" s="295" t="s">
        <v>1060</v>
      </c>
      <c r="E1729" s="296">
        <v>12</v>
      </c>
      <c r="F1729" s="294">
        <v>15.2</v>
      </c>
      <c r="G1729" s="308">
        <f t="shared" si="255"/>
        <v>5.6000769199999985</v>
      </c>
      <c r="H1729" s="294">
        <v>94.4</v>
      </c>
      <c r="I1729" s="297"/>
      <c r="J1729" s="297"/>
      <c r="K1729" s="294">
        <f t="shared" si="249"/>
        <v>2.1352000000000002</v>
      </c>
      <c r="L1729" s="294">
        <f t="shared" si="250"/>
        <v>0.62150446245737101</v>
      </c>
      <c r="M1729" s="309">
        <f t="shared" si="256"/>
        <v>2.2758299200467351</v>
      </c>
      <c r="N1729" s="294">
        <v>0</v>
      </c>
      <c r="O1729" s="294" t="str">
        <f t="shared" si="247"/>
        <v/>
      </c>
      <c r="P1729" s="294"/>
    </row>
    <row r="1730" spans="1:16">
      <c r="A1730" s="294">
        <v>145</v>
      </c>
      <c r="B1730" s="294" t="s">
        <v>633</v>
      </c>
      <c r="C1730" s="294" t="s">
        <v>637</v>
      </c>
      <c r="D1730" s="295" t="s">
        <v>1060</v>
      </c>
      <c r="E1730" s="296">
        <v>1</v>
      </c>
      <c r="F1730" s="294">
        <v>16.3</v>
      </c>
      <c r="G1730" s="308">
        <f t="shared" si="255"/>
        <v>5.6093572899999993</v>
      </c>
      <c r="H1730" s="294">
        <v>79.3</v>
      </c>
      <c r="I1730" s="306">
        <v>0.68</v>
      </c>
      <c r="J1730" s="307">
        <v>1.59</v>
      </c>
      <c r="K1730" s="294">
        <f t="shared" si="249"/>
        <v>2.1088</v>
      </c>
      <c r="L1730" s="294">
        <f t="shared" si="250"/>
        <v>0.63570126432395468</v>
      </c>
      <c r="M1730" s="309">
        <f>$I$1730*L1730*(G1730/K1730)+$J$1730</f>
        <v>2.7398460520118073</v>
      </c>
      <c r="N1730" s="294">
        <v>0</v>
      </c>
      <c r="O1730" s="294" t="str">
        <f t="shared" ref="O1730:O1753" si="257">IF(N1730*M1730=0,"",N1730*M1730)</f>
        <v/>
      </c>
      <c r="P1730" s="294">
        <f>AVERAGE(O1730:O1741)</f>
        <v>7.1728015307083748</v>
      </c>
    </row>
    <row r="1731" spans="1:16">
      <c r="A1731" s="294"/>
      <c r="B1731" s="294" t="s">
        <v>633</v>
      </c>
      <c r="C1731" s="294" t="s">
        <v>637</v>
      </c>
      <c r="D1731" s="295" t="s">
        <v>1060</v>
      </c>
      <c r="E1731" s="296">
        <v>2</v>
      </c>
      <c r="F1731" s="294">
        <v>16.100000000000001</v>
      </c>
      <c r="G1731" s="308">
        <f t="shared" si="255"/>
        <v>8.8853609299999992</v>
      </c>
      <c r="H1731" s="294">
        <v>98.1</v>
      </c>
      <c r="I1731" s="297"/>
      <c r="J1731" s="297"/>
      <c r="K1731" s="294">
        <f t="shared" si="249"/>
        <v>2.1135999999999999</v>
      </c>
      <c r="L1731" s="294">
        <f t="shared" si="250"/>
        <v>0.63314265607977505</v>
      </c>
      <c r="M1731" s="309">
        <f t="shared" ref="M1731:M1741" si="258">$I$1730*L1731*(G1731/K1731)+$J$1730</f>
        <v>3.3999340902840696</v>
      </c>
      <c r="N1731" s="294">
        <v>0</v>
      </c>
      <c r="O1731" s="294" t="str">
        <f t="shared" si="257"/>
        <v/>
      </c>
      <c r="P1731" s="294"/>
    </row>
    <row r="1732" spans="1:16">
      <c r="A1732" s="294"/>
      <c r="B1732" s="294" t="s">
        <v>633</v>
      </c>
      <c r="C1732" s="294" t="s">
        <v>637</v>
      </c>
      <c r="D1732" s="295" t="s">
        <v>1060</v>
      </c>
      <c r="E1732" s="296">
        <v>3</v>
      </c>
      <c r="F1732" s="294">
        <v>18.399999999999999</v>
      </c>
      <c r="G1732" s="308">
        <f t="shared" si="255"/>
        <v>12.27499001</v>
      </c>
      <c r="H1732" s="294">
        <v>136.69999999999999</v>
      </c>
      <c r="I1732" s="297"/>
      <c r="J1732" s="297"/>
      <c r="K1732" s="294">
        <f t="shared" si="249"/>
        <v>2.0583999999999998</v>
      </c>
      <c r="L1732" s="294">
        <f t="shared" si="250"/>
        <v>0.66192047983258717</v>
      </c>
      <c r="M1732" s="309">
        <f t="shared" si="258"/>
        <v>4.2741458164615249</v>
      </c>
      <c r="N1732" s="294">
        <v>0</v>
      </c>
      <c r="O1732" s="294" t="str">
        <f t="shared" si="257"/>
        <v/>
      </c>
      <c r="P1732" s="294"/>
    </row>
    <row r="1733" spans="1:16">
      <c r="A1733" s="294"/>
      <c r="B1733" s="294" t="s">
        <v>633</v>
      </c>
      <c r="C1733" s="294" t="s">
        <v>637</v>
      </c>
      <c r="D1733" s="295" t="s">
        <v>1060</v>
      </c>
      <c r="E1733" s="296">
        <v>4</v>
      </c>
      <c r="F1733" s="294">
        <v>21.4</v>
      </c>
      <c r="G1733" s="308">
        <f t="shared" si="255"/>
        <v>13.704893800000001</v>
      </c>
      <c r="H1733" s="294">
        <v>126</v>
      </c>
      <c r="I1733" s="297"/>
      <c r="J1733" s="297"/>
      <c r="K1733" s="294">
        <f t="shared" si="249"/>
        <v>1.9864000000000002</v>
      </c>
      <c r="L1733" s="294">
        <f t="shared" si="250"/>
        <v>0.69715862454510524</v>
      </c>
      <c r="M1733" s="309">
        <f t="shared" si="258"/>
        <v>4.8607660791272771</v>
      </c>
      <c r="N1733" s="294">
        <v>0</v>
      </c>
      <c r="O1733" s="294" t="str">
        <f t="shared" si="257"/>
        <v/>
      </c>
      <c r="P1733" s="294"/>
    </row>
    <row r="1734" spans="1:16">
      <c r="A1734" s="294"/>
      <c r="B1734" s="294" t="s">
        <v>633</v>
      </c>
      <c r="C1734" s="294" t="s">
        <v>637</v>
      </c>
      <c r="D1734" s="295" t="s">
        <v>1060</v>
      </c>
      <c r="E1734" s="296">
        <v>5</v>
      </c>
      <c r="F1734" s="294">
        <v>23.7</v>
      </c>
      <c r="G1734" s="308">
        <f t="shared" si="255"/>
        <v>15.981024179999999</v>
      </c>
      <c r="H1734" s="294">
        <v>136.6</v>
      </c>
      <c r="I1734" s="297"/>
      <c r="J1734" s="297"/>
      <c r="K1734" s="294">
        <f t="shared" si="249"/>
        <v>1.9312</v>
      </c>
      <c r="L1734" s="294">
        <f t="shared" si="250"/>
        <v>0.72226310522658388</v>
      </c>
      <c r="M1734" s="309">
        <f t="shared" si="258"/>
        <v>5.6542620242774371</v>
      </c>
      <c r="N1734" s="294">
        <v>0</v>
      </c>
      <c r="O1734" s="294" t="str">
        <f t="shared" si="257"/>
        <v/>
      </c>
      <c r="P1734" s="294"/>
    </row>
    <row r="1735" spans="1:16">
      <c r="A1735" s="294"/>
      <c r="B1735" s="294" t="s">
        <v>633</v>
      </c>
      <c r="C1735" s="294" t="s">
        <v>637</v>
      </c>
      <c r="D1735" s="295" t="s">
        <v>1060</v>
      </c>
      <c r="E1735" s="296">
        <v>6</v>
      </c>
      <c r="F1735" s="294">
        <v>27.4</v>
      </c>
      <c r="G1735" s="308">
        <f t="shared" si="255"/>
        <v>17.86728866</v>
      </c>
      <c r="H1735" s="294">
        <v>176.2</v>
      </c>
      <c r="I1735" s="297"/>
      <c r="J1735" s="297"/>
      <c r="K1735" s="294">
        <f t="shared" si="249"/>
        <v>1.8424</v>
      </c>
      <c r="L1735" s="294">
        <f t="shared" si="250"/>
        <v>0.75899048170392402</v>
      </c>
      <c r="M1735" s="309">
        <f t="shared" si="258"/>
        <v>6.5951831188784151</v>
      </c>
      <c r="N1735" s="294">
        <v>0</v>
      </c>
      <c r="O1735" s="294" t="str">
        <f t="shared" si="257"/>
        <v/>
      </c>
      <c r="P1735" s="294"/>
    </row>
    <row r="1736" spans="1:16">
      <c r="A1736" s="294"/>
      <c r="B1736" s="294" t="s">
        <v>633</v>
      </c>
      <c r="C1736" s="294" t="s">
        <v>637</v>
      </c>
      <c r="D1736" s="295" t="s">
        <v>1060</v>
      </c>
      <c r="E1736" s="296">
        <v>7</v>
      </c>
      <c r="F1736" s="294">
        <v>28.3</v>
      </c>
      <c r="G1736" s="308">
        <f t="shared" si="255"/>
        <v>19.610518689999999</v>
      </c>
      <c r="H1736" s="294">
        <v>223.3</v>
      </c>
      <c r="I1736" s="297"/>
      <c r="J1736" s="297"/>
      <c r="K1736" s="294">
        <f t="shared" si="249"/>
        <v>1.8208</v>
      </c>
      <c r="L1736" s="294">
        <f t="shared" si="250"/>
        <v>0.76723339367766763</v>
      </c>
      <c r="M1736" s="309">
        <f t="shared" si="258"/>
        <v>7.2090545190517688</v>
      </c>
      <c r="N1736" s="294">
        <v>1</v>
      </c>
      <c r="O1736" s="294">
        <f t="shared" si="257"/>
        <v>7.2090545190517688</v>
      </c>
      <c r="P1736" s="294"/>
    </row>
    <row r="1737" spans="1:16">
      <c r="A1737" s="294"/>
      <c r="B1737" s="294" t="s">
        <v>633</v>
      </c>
      <c r="C1737" s="294" t="s">
        <v>637</v>
      </c>
      <c r="D1737" s="295" t="s">
        <v>1060</v>
      </c>
      <c r="E1737" s="296">
        <v>8</v>
      </c>
      <c r="F1737" s="294">
        <v>28.4</v>
      </c>
      <c r="G1737" s="308">
        <f t="shared" si="255"/>
        <v>19.309326190000004</v>
      </c>
      <c r="H1737" s="294">
        <v>233.3</v>
      </c>
      <c r="I1737" s="297"/>
      <c r="J1737" s="297"/>
      <c r="K1737" s="294">
        <f t="shared" si="249"/>
        <v>1.8184</v>
      </c>
      <c r="L1737" s="294">
        <f t="shared" si="250"/>
        <v>0.76813262106928992</v>
      </c>
      <c r="M1737" s="309">
        <f t="shared" si="258"/>
        <v>7.1365485423649799</v>
      </c>
      <c r="N1737" s="294">
        <v>1</v>
      </c>
      <c r="O1737" s="294">
        <f t="shared" si="257"/>
        <v>7.1365485423649799</v>
      </c>
      <c r="P1737" s="294"/>
    </row>
    <row r="1738" spans="1:16">
      <c r="A1738" s="294"/>
      <c r="B1738" s="294" t="s">
        <v>633</v>
      </c>
      <c r="C1738" s="294" t="s">
        <v>637</v>
      </c>
      <c r="D1738" s="295" t="s">
        <v>1060</v>
      </c>
      <c r="E1738" s="296">
        <v>9</v>
      </c>
      <c r="F1738" s="294">
        <v>27.4</v>
      </c>
      <c r="G1738" s="308">
        <f t="shared" si="255"/>
        <v>16.24221691</v>
      </c>
      <c r="H1738" s="294">
        <v>204.7</v>
      </c>
      <c r="I1738" s="297"/>
      <c r="J1738" s="297"/>
      <c r="K1738" s="294">
        <f t="shared" si="249"/>
        <v>1.8424</v>
      </c>
      <c r="L1738" s="294">
        <f t="shared" si="250"/>
        <v>0.75899048170392402</v>
      </c>
      <c r="M1738" s="309">
        <f t="shared" si="258"/>
        <v>6.1399499917461755</v>
      </c>
      <c r="N1738" s="294">
        <v>0</v>
      </c>
      <c r="O1738" s="294" t="str">
        <f t="shared" si="257"/>
        <v/>
      </c>
      <c r="P1738" s="294"/>
    </row>
    <row r="1739" spans="1:16">
      <c r="A1739" s="294"/>
      <c r="B1739" s="294" t="s">
        <v>633</v>
      </c>
      <c r="C1739" s="294" t="s">
        <v>637</v>
      </c>
      <c r="D1739" s="295" t="s">
        <v>1060</v>
      </c>
      <c r="E1739" s="296">
        <v>10</v>
      </c>
      <c r="F1739" s="294">
        <v>25.1</v>
      </c>
      <c r="G1739" s="308">
        <f t="shared" si="255"/>
        <v>11.68882764</v>
      </c>
      <c r="H1739" s="294">
        <v>170.8</v>
      </c>
      <c r="I1739" s="297"/>
      <c r="J1739" s="297"/>
      <c r="K1739" s="294">
        <f t="shared" si="249"/>
        <v>1.8976</v>
      </c>
      <c r="L1739" s="294">
        <f t="shared" si="250"/>
        <v>0.73669623234985304</v>
      </c>
      <c r="M1739" s="309">
        <f t="shared" si="258"/>
        <v>4.6757706536798489</v>
      </c>
      <c r="N1739" s="294">
        <v>0</v>
      </c>
      <c r="O1739" s="294" t="str">
        <f t="shared" si="257"/>
        <v/>
      </c>
      <c r="P1739" s="294"/>
    </row>
    <row r="1740" spans="1:16">
      <c r="A1740" s="294"/>
      <c r="B1740" s="294" t="s">
        <v>633</v>
      </c>
      <c r="C1740" s="294" t="s">
        <v>637</v>
      </c>
      <c r="D1740" s="295" t="s">
        <v>1060</v>
      </c>
      <c r="E1740" s="296">
        <v>11</v>
      </c>
      <c r="F1740" s="294">
        <v>23.3</v>
      </c>
      <c r="G1740" s="308">
        <f t="shared" si="255"/>
        <v>9.1530120599999982</v>
      </c>
      <c r="H1740" s="294">
        <v>144.19999999999999</v>
      </c>
      <c r="I1740" s="297"/>
      <c r="J1740" s="297"/>
      <c r="K1740" s="294">
        <f t="shared" si="249"/>
        <v>1.9407999999999999</v>
      </c>
      <c r="L1740" s="294">
        <f t="shared" si="250"/>
        <v>0.71802052338175526</v>
      </c>
      <c r="M1740" s="309">
        <f t="shared" si="258"/>
        <v>3.8926557845690892</v>
      </c>
      <c r="N1740" s="294">
        <v>0</v>
      </c>
      <c r="O1740" s="294" t="str">
        <f t="shared" si="257"/>
        <v/>
      </c>
      <c r="P1740" s="294"/>
    </row>
    <row r="1741" spans="1:16">
      <c r="A1741" s="294"/>
      <c r="B1741" s="294" t="s">
        <v>633</v>
      </c>
      <c r="C1741" s="294" t="s">
        <v>637</v>
      </c>
      <c r="D1741" s="295" t="s">
        <v>1060</v>
      </c>
      <c r="E1741" s="296">
        <v>12</v>
      </c>
      <c r="F1741" s="294">
        <v>19.5</v>
      </c>
      <c r="G1741" s="308">
        <f t="shared" si="255"/>
        <v>5.1221242699999996</v>
      </c>
      <c r="H1741" s="294">
        <v>83.9</v>
      </c>
      <c r="I1741" s="297"/>
      <c r="J1741" s="297"/>
      <c r="K1741" s="294">
        <f t="shared" si="249"/>
        <v>2.032</v>
      </c>
      <c r="L1741" s="294">
        <f t="shared" si="250"/>
        <v>0.67515667435506088</v>
      </c>
      <c r="M1741" s="309">
        <f t="shared" si="258"/>
        <v>2.7472838305517961</v>
      </c>
      <c r="N1741" s="294">
        <v>0</v>
      </c>
      <c r="O1741" s="294" t="str">
        <f t="shared" si="257"/>
        <v/>
      </c>
      <c r="P1741" s="294"/>
    </row>
    <row r="1742" spans="1:16">
      <c r="A1742" s="294">
        <v>146</v>
      </c>
      <c r="B1742" s="297" t="s">
        <v>1027</v>
      </c>
      <c r="C1742" s="297" t="s">
        <v>939</v>
      </c>
      <c r="D1742" s="295" t="s">
        <v>1060</v>
      </c>
      <c r="E1742" s="296">
        <v>1</v>
      </c>
      <c r="F1742" s="294">
        <v>16.600000000000001</v>
      </c>
      <c r="G1742" s="294">
        <v>8.5</v>
      </c>
      <c r="H1742" s="294"/>
      <c r="I1742" s="315">
        <v>0.68</v>
      </c>
      <c r="J1742" s="316">
        <v>1.59</v>
      </c>
      <c r="K1742" s="294">
        <f t="shared" ref="K1742:K1753" si="259">2.5-0.024*F1742</f>
        <v>2.1015999999999999</v>
      </c>
      <c r="L1742" s="294">
        <f t="shared" ref="L1742:L1753" si="260">1/(1.05+1.4*EXP(-0.0604*F1742))</f>
        <v>0.63951976529868115</v>
      </c>
      <c r="M1742" s="309">
        <f>$I$1742*L1742*(G1742/K1742)+$J$1742</f>
        <v>3.3488619353951168</v>
      </c>
      <c r="N1742" s="294">
        <v>0</v>
      </c>
      <c r="O1742" s="294" t="str">
        <f t="shared" si="257"/>
        <v/>
      </c>
      <c r="P1742" s="294">
        <f>AVERAGE(O1742:O1753)</f>
        <v>7.081595594315683</v>
      </c>
    </row>
    <row r="1743" spans="1:16">
      <c r="A1743" s="294"/>
      <c r="B1743" s="297" t="s">
        <v>1027</v>
      </c>
      <c r="C1743" s="297" t="s">
        <v>939</v>
      </c>
      <c r="D1743" s="295" t="s">
        <v>1060</v>
      </c>
      <c r="E1743" s="296">
        <v>2</v>
      </c>
      <c r="F1743" s="294">
        <v>16.8</v>
      </c>
      <c r="G1743" s="294">
        <v>12.2</v>
      </c>
      <c r="H1743" s="294"/>
      <c r="I1743" s="315">
        <v>0.68</v>
      </c>
      <c r="J1743" s="316">
        <v>1.59</v>
      </c>
      <c r="K1743" s="294">
        <f t="shared" si="259"/>
        <v>2.0968</v>
      </c>
      <c r="L1743" s="294">
        <f t="shared" si="260"/>
        <v>0.64205231419896891</v>
      </c>
      <c r="M1743" s="309">
        <f t="shared" ref="M1743:M1753" si="261">$I$1742*L1743*(G1743/K1743)+$J$1742</f>
        <v>4.1302832881508236</v>
      </c>
      <c r="N1743" s="294">
        <v>0</v>
      </c>
      <c r="O1743" s="294" t="str">
        <f t="shared" si="257"/>
        <v/>
      </c>
      <c r="P1743" s="294"/>
    </row>
    <row r="1744" spans="1:16">
      <c r="A1744" s="294"/>
      <c r="B1744" s="297" t="s">
        <v>1027</v>
      </c>
      <c r="C1744" s="297" t="s">
        <v>939</v>
      </c>
      <c r="D1744" s="295" t="s">
        <v>1060</v>
      </c>
      <c r="E1744" s="296">
        <v>3</v>
      </c>
      <c r="F1744" s="294">
        <v>19</v>
      </c>
      <c r="G1744" s="294">
        <v>14.1</v>
      </c>
      <c r="H1744" s="294"/>
      <c r="I1744" s="315">
        <v>0.68</v>
      </c>
      <c r="J1744" s="316">
        <v>1.59</v>
      </c>
      <c r="K1744" s="294">
        <f t="shared" si="259"/>
        <v>2.044</v>
      </c>
      <c r="L1744" s="294">
        <f t="shared" si="260"/>
        <v>0.66918429216402076</v>
      </c>
      <c r="M1744" s="309">
        <f t="shared" si="261"/>
        <v>4.7290112491529506</v>
      </c>
      <c r="N1744" s="294">
        <v>0</v>
      </c>
      <c r="O1744" s="294" t="str">
        <f t="shared" si="257"/>
        <v/>
      </c>
      <c r="P1744" s="294"/>
    </row>
    <row r="1745" spans="1:16">
      <c r="A1745" s="294"/>
      <c r="B1745" s="297" t="s">
        <v>1027</v>
      </c>
      <c r="C1745" s="297" t="s">
        <v>939</v>
      </c>
      <c r="D1745" s="295" t="s">
        <v>1060</v>
      </c>
      <c r="E1745" s="296">
        <v>4</v>
      </c>
      <c r="F1745" s="294">
        <v>22.2</v>
      </c>
      <c r="G1745" s="294">
        <v>15.2</v>
      </c>
      <c r="H1745" s="294"/>
      <c r="I1745" s="315">
        <v>0.68</v>
      </c>
      <c r="J1745" s="316">
        <v>1.59</v>
      </c>
      <c r="K1745" s="294">
        <f t="shared" si="259"/>
        <v>1.9672000000000001</v>
      </c>
      <c r="L1745" s="294">
        <f t="shared" si="260"/>
        <v>0.70608430100171982</v>
      </c>
      <c r="M1745" s="309">
        <f t="shared" si="261"/>
        <v>5.2998857946084668</v>
      </c>
      <c r="N1745" s="294">
        <v>0</v>
      </c>
      <c r="O1745" s="294" t="str">
        <f t="shared" si="257"/>
        <v/>
      </c>
      <c r="P1745" s="294"/>
    </row>
    <row r="1746" spans="1:16">
      <c r="A1746" s="294"/>
      <c r="B1746" s="297" t="s">
        <v>1027</v>
      </c>
      <c r="C1746" s="297" t="s">
        <v>939</v>
      </c>
      <c r="D1746" s="295" t="s">
        <v>1060</v>
      </c>
      <c r="E1746" s="296">
        <v>5</v>
      </c>
      <c r="F1746" s="294">
        <v>24.9</v>
      </c>
      <c r="G1746" s="294">
        <v>17.600000000000001</v>
      </c>
      <c r="H1746" s="294"/>
      <c r="I1746" s="315">
        <v>0.68</v>
      </c>
      <c r="J1746" s="316">
        <v>1.59</v>
      </c>
      <c r="K1746" s="294">
        <f t="shared" si="259"/>
        <v>1.9024000000000001</v>
      </c>
      <c r="L1746" s="294">
        <f t="shared" si="260"/>
        <v>0.73467416247876316</v>
      </c>
      <c r="M1746" s="309">
        <f t="shared" si="261"/>
        <v>6.2118357740463823</v>
      </c>
      <c r="N1746" s="294">
        <v>0</v>
      </c>
      <c r="O1746" s="294" t="str">
        <f t="shared" si="257"/>
        <v/>
      </c>
      <c r="P1746" s="294"/>
    </row>
    <row r="1747" spans="1:16">
      <c r="A1747" s="294"/>
      <c r="B1747" s="297" t="s">
        <v>1027</v>
      </c>
      <c r="C1747" s="297" t="s">
        <v>939</v>
      </c>
      <c r="D1747" s="295" t="s">
        <v>1060</v>
      </c>
      <c r="E1747" s="296">
        <v>6</v>
      </c>
      <c r="F1747" s="294">
        <v>28.7</v>
      </c>
      <c r="G1747" s="294">
        <v>21.8</v>
      </c>
      <c r="H1747" s="294"/>
      <c r="I1747" s="315">
        <v>0.68</v>
      </c>
      <c r="J1747" s="316">
        <v>1.59</v>
      </c>
      <c r="K1747" s="294">
        <f t="shared" si="259"/>
        <v>1.8111999999999999</v>
      </c>
      <c r="L1747" s="294">
        <f t="shared" si="260"/>
        <v>0.77081036989634255</v>
      </c>
      <c r="M1747" s="309">
        <f t="shared" si="261"/>
        <v>7.8987968878883521</v>
      </c>
      <c r="N1747" s="294">
        <v>0</v>
      </c>
      <c r="O1747" s="294" t="str">
        <f t="shared" si="257"/>
        <v/>
      </c>
      <c r="P1747" s="294"/>
    </row>
    <row r="1748" spans="1:16">
      <c r="A1748" s="294"/>
      <c r="B1748" s="297" t="s">
        <v>1027</v>
      </c>
      <c r="C1748" s="297" t="s">
        <v>939</v>
      </c>
      <c r="D1748" s="295" t="s">
        <v>1060</v>
      </c>
      <c r="E1748" s="296">
        <v>7</v>
      </c>
      <c r="F1748" s="294">
        <v>29</v>
      </c>
      <c r="G1748" s="294">
        <v>20.2</v>
      </c>
      <c r="H1748" s="294"/>
      <c r="I1748" s="315">
        <v>0.68</v>
      </c>
      <c r="J1748" s="316">
        <v>1.59</v>
      </c>
      <c r="K1748" s="294">
        <f t="shared" si="259"/>
        <v>1.8039999999999998</v>
      </c>
      <c r="L1748" s="294">
        <f t="shared" si="260"/>
        <v>0.77345826696179054</v>
      </c>
      <c r="M1748" s="309">
        <f t="shared" si="261"/>
        <v>7.4792587333631682</v>
      </c>
      <c r="N1748" s="294">
        <v>1</v>
      </c>
      <c r="O1748" s="294">
        <f t="shared" si="257"/>
        <v>7.4792587333631682</v>
      </c>
      <c r="P1748" s="294"/>
    </row>
    <row r="1749" spans="1:16">
      <c r="A1749" s="294"/>
      <c r="B1749" s="297" t="s">
        <v>1027</v>
      </c>
      <c r="C1749" s="297" t="s">
        <v>939</v>
      </c>
      <c r="D1749" s="295" t="s">
        <v>1060</v>
      </c>
      <c r="E1749" s="296">
        <v>8</v>
      </c>
      <c r="F1749" s="294">
        <v>28.7</v>
      </c>
      <c r="G1749" s="294">
        <v>18</v>
      </c>
      <c r="H1749" s="294"/>
      <c r="I1749" s="315">
        <v>0.68</v>
      </c>
      <c r="J1749" s="316">
        <v>1.59</v>
      </c>
      <c r="K1749" s="294">
        <f t="shared" si="259"/>
        <v>1.8111999999999999</v>
      </c>
      <c r="L1749" s="294">
        <f t="shared" si="260"/>
        <v>0.77081036989634255</v>
      </c>
      <c r="M1749" s="309">
        <f t="shared" si="261"/>
        <v>6.799098347797722</v>
      </c>
      <c r="N1749" s="294">
        <v>1</v>
      </c>
      <c r="O1749" s="294">
        <f t="shared" si="257"/>
        <v>6.799098347797722</v>
      </c>
      <c r="P1749" s="294"/>
    </row>
    <row r="1750" spans="1:16">
      <c r="A1750" s="294"/>
      <c r="B1750" s="297" t="s">
        <v>1027</v>
      </c>
      <c r="C1750" s="297" t="s">
        <v>939</v>
      </c>
      <c r="D1750" s="295" t="s">
        <v>1060</v>
      </c>
      <c r="E1750" s="296">
        <v>9</v>
      </c>
      <c r="F1750" s="294">
        <v>27.8</v>
      </c>
      <c r="G1750" s="294">
        <v>19</v>
      </c>
      <c r="H1750" s="294"/>
      <c r="I1750" s="315">
        <v>0.68</v>
      </c>
      <c r="J1750" s="316">
        <v>1.59</v>
      </c>
      <c r="K1750" s="294">
        <f t="shared" si="259"/>
        <v>1.8328</v>
      </c>
      <c r="L1750" s="294">
        <f t="shared" si="260"/>
        <v>0.76268733416669277</v>
      </c>
      <c r="M1750" s="309">
        <f t="shared" si="261"/>
        <v>6.9664297017861587</v>
      </c>
      <c r="N1750" s="294">
        <v>1</v>
      </c>
      <c r="O1750" s="294">
        <f t="shared" si="257"/>
        <v>6.9664297017861587</v>
      </c>
      <c r="P1750" s="294"/>
    </row>
    <row r="1751" spans="1:16">
      <c r="A1751" s="294"/>
      <c r="B1751" s="297" t="s">
        <v>1027</v>
      </c>
      <c r="C1751" s="297" t="s">
        <v>939</v>
      </c>
      <c r="D1751" s="295" t="s">
        <v>1060</v>
      </c>
      <c r="E1751" s="296">
        <v>10</v>
      </c>
      <c r="F1751" s="294">
        <v>25.5</v>
      </c>
      <c r="G1751" s="294">
        <v>14.8</v>
      </c>
      <c r="H1751" s="294"/>
      <c r="I1751" s="315">
        <v>0.68</v>
      </c>
      <c r="J1751" s="316">
        <v>1.59</v>
      </c>
      <c r="K1751" s="294">
        <f t="shared" si="259"/>
        <v>1.8879999999999999</v>
      </c>
      <c r="L1751" s="294">
        <f t="shared" si="260"/>
        <v>0.74070040203683252</v>
      </c>
      <c r="M1751" s="309">
        <f t="shared" si="261"/>
        <v>5.5383097701793877</v>
      </c>
      <c r="N1751" s="294">
        <v>0</v>
      </c>
      <c r="O1751" s="294" t="str">
        <f t="shared" si="257"/>
        <v/>
      </c>
      <c r="P1751" s="294"/>
    </row>
    <row r="1752" spans="1:16">
      <c r="A1752" s="294"/>
      <c r="B1752" s="297" t="s">
        <v>1027</v>
      </c>
      <c r="C1752" s="297" t="s">
        <v>939</v>
      </c>
      <c r="D1752" s="295" t="s">
        <v>1060</v>
      </c>
      <c r="E1752" s="296">
        <v>11</v>
      </c>
      <c r="F1752" s="294">
        <v>23.8</v>
      </c>
      <c r="G1752" s="294">
        <v>11.7</v>
      </c>
      <c r="H1752" s="294"/>
      <c r="I1752" s="315">
        <v>0.68</v>
      </c>
      <c r="J1752" s="316">
        <v>1.59</v>
      </c>
      <c r="K1752" s="294">
        <f t="shared" si="259"/>
        <v>1.9287999999999998</v>
      </c>
      <c r="L1752" s="294">
        <f t="shared" si="260"/>
        <v>0.72331553572267304</v>
      </c>
      <c r="M1752" s="309">
        <f t="shared" si="261"/>
        <v>4.5735640824396446</v>
      </c>
      <c r="N1752" s="294">
        <v>0</v>
      </c>
      <c r="O1752" s="294" t="str">
        <f t="shared" si="257"/>
        <v/>
      </c>
      <c r="P1752" s="294"/>
    </row>
    <row r="1753" spans="1:16">
      <c r="A1753" s="294"/>
      <c r="B1753" s="297" t="s">
        <v>1027</v>
      </c>
      <c r="C1753" s="297" t="s">
        <v>939</v>
      </c>
      <c r="D1753" s="295" t="s">
        <v>1060</v>
      </c>
      <c r="E1753" s="296">
        <v>12</v>
      </c>
      <c r="F1753" s="294">
        <v>20.100000000000001</v>
      </c>
      <c r="G1753" s="294">
        <v>8.8000000000000007</v>
      </c>
      <c r="H1753" s="294"/>
      <c r="I1753" s="315">
        <v>0.68</v>
      </c>
      <c r="J1753" s="316">
        <v>1.59</v>
      </c>
      <c r="K1753" s="294">
        <f t="shared" si="259"/>
        <v>2.0175999999999998</v>
      </c>
      <c r="L1753" s="294">
        <f t="shared" si="260"/>
        <v>0.68222457536345948</v>
      </c>
      <c r="M1753" s="309">
        <f t="shared" si="261"/>
        <v>3.6134099221723543</v>
      </c>
      <c r="N1753" s="294">
        <v>0</v>
      </c>
      <c r="O1753" s="294" t="str">
        <f t="shared" si="257"/>
        <v/>
      </c>
      <c r="P1753" s="294"/>
    </row>
  </sheetData>
  <mergeCells count="4">
    <mergeCell ref="R13:R24"/>
    <mergeCell ref="R12:S12"/>
    <mergeCell ref="R11:S11"/>
    <mergeCell ref="R10:S10"/>
  </mergeCells>
  <phoneticPr fontId="18"/>
  <pageMargins left="0.70866141732283472" right="0.70866141732283472" top="0.74803149606299213" bottom="0.74803149606299213" header="0.31496062992125984" footer="0.31496062992125984"/>
  <pageSetup paperSize="8" scale="46" fitToHeight="0" orientation="portrait" r:id="rId1"/>
  <headerFooter>
    <oddHeader>&amp;A</oddHead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Y181"/>
  <sheetViews>
    <sheetView view="pageBreakPreview" workbookViewId="0">
      <selection activeCell="R20" sqref="R20"/>
    </sheetView>
  </sheetViews>
  <sheetFormatPr defaultColWidth="12.8984375" defaultRowHeight="14.4"/>
  <cols>
    <col min="1" max="1" width="3.09765625" style="52" customWidth="1"/>
    <col min="2" max="2" width="3.09765625" customWidth="1"/>
    <col min="3" max="3" width="12.59765625" customWidth="1"/>
    <col min="4" max="4" width="11.3984375" customWidth="1"/>
    <col min="5" max="5" width="11" customWidth="1"/>
    <col min="6" max="6" width="4.19921875" customWidth="1"/>
    <col min="7" max="7" width="6.59765625" customWidth="1"/>
    <col min="8" max="8" width="7.8984375" customWidth="1"/>
    <col min="9" max="9" width="4.5" bestFit="1" customWidth="1"/>
    <col min="10" max="10" width="3" bestFit="1" customWidth="1"/>
    <col min="11" max="11" width="3.5" bestFit="1" customWidth="1"/>
    <col min="12" max="12" width="14" customWidth="1"/>
    <col min="13" max="13" width="3.09765625" customWidth="1"/>
    <col min="14" max="15" width="3.09765625" style="52" customWidth="1"/>
    <col min="16" max="16" width="3.09765625" customWidth="1"/>
    <col min="17" max="17" width="19.59765625" customWidth="1"/>
    <col min="18" max="18" width="23.5" customWidth="1"/>
    <col min="19" max="19" width="16.5" customWidth="1"/>
    <col min="20" max="20" width="10.5" bestFit="1" customWidth="1"/>
    <col min="21" max="21" width="22.09765625" customWidth="1"/>
    <col min="22" max="22" width="14.19921875" bestFit="1" customWidth="1"/>
    <col min="23" max="23" width="3.09765625" customWidth="1"/>
    <col min="24" max="24" width="3.09765625" style="52" customWidth="1"/>
  </cols>
  <sheetData>
    <row r="1" spans="1:24" s="52" customFormat="1" ht="15" thickBot="1">
      <c r="A1" s="54"/>
      <c r="B1" s="54"/>
      <c r="C1" s="54"/>
      <c r="D1" s="54"/>
      <c r="E1" s="54"/>
      <c r="F1" s="54"/>
      <c r="G1" s="54"/>
      <c r="H1" s="54"/>
      <c r="I1" s="54"/>
      <c r="J1" s="54"/>
      <c r="K1" s="54"/>
      <c r="L1" s="54"/>
      <c r="M1" s="54"/>
      <c r="N1" s="54"/>
      <c r="O1" s="54"/>
      <c r="P1" s="54"/>
      <c r="Q1" s="54"/>
      <c r="R1" s="54"/>
      <c r="S1" s="54"/>
      <c r="T1" s="54"/>
      <c r="U1" s="54"/>
      <c r="V1" s="54"/>
      <c r="W1" s="54"/>
      <c r="X1" s="54"/>
    </row>
    <row r="2" spans="1:24" ht="36.9" customHeight="1" thickTop="1" thickBot="1">
      <c r="A2" s="54"/>
      <c r="B2" s="441" t="s">
        <v>847</v>
      </c>
      <c r="C2" s="442"/>
      <c r="D2" s="442"/>
      <c r="E2" s="442"/>
      <c r="F2" s="442"/>
      <c r="G2" s="442"/>
      <c r="H2" s="442"/>
      <c r="I2" s="442"/>
      <c r="J2" s="442"/>
      <c r="K2" s="442"/>
      <c r="L2" s="442"/>
      <c r="M2" s="442"/>
      <c r="N2" s="442"/>
      <c r="O2" s="442"/>
      <c r="P2" s="442"/>
      <c r="Q2" s="442"/>
      <c r="R2" s="442"/>
      <c r="S2" s="442"/>
      <c r="T2" s="442"/>
      <c r="U2" s="442"/>
      <c r="V2" s="442"/>
      <c r="W2" s="443"/>
      <c r="X2" s="54"/>
    </row>
    <row r="3" spans="1:24" ht="18.899999999999999" customHeight="1" thickTop="1" thickBot="1">
      <c r="A3" s="54"/>
      <c r="B3" s="72"/>
      <c r="C3" s="72"/>
      <c r="D3" s="72"/>
      <c r="E3" s="72"/>
      <c r="F3" s="72"/>
      <c r="G3" s="72"/>
      <c r="H3" s="72"/>
      <c r="I3" s="72"/>
      <c r="J3" s="72"/>
      <c r="K3" s="72"/>
      <c r="L3" s="72"/>
      <c r="M3" s="72"/>
      <c r="N3" s="72"/>
      <c r="O3" s="72"/>
      <c r="P3" s="72"/>
      <c r="Q3" s="72"/>
      <c r="R3" s="72"/>
      <c r="S3" s="72"/>
      <c r="T3" s="72"/>
      <c r="U3" s="72"/>
      <c r="V3" s="72"/>
      <c r="W3" s="72"/>
      <c r="X3" s="54"/>
    </row>
    <row r="4" spans="1:24" ht="18.899999999999999" customHeight="1" thickTop="1">
      <c r="A4" s="54"/>
      <c r="B4" s="57"/>
      <c r="C4" s="58"/>
      <c r="D4" s="58"/>
      <c r="E4" s="58"/>
      <c r="F4" s="58"/>
      <c r="G4" s="58"/>
      <c r="H4" s="58"/>
      <c r="I4" s="58"/>
      <c r="J4" s="58"/>
      <c r="K4" s="58"/>
      <c r="L4" s="58"/>
      <c r="M4" s="59"/>
      <c r="N4" s="54"/>
      <c r="O4" s="54"/>
      <c r="P4" s="57"/>
      <c r="Q4" s="58"/>
      <c r="R4" s="58"/>
      <c r="S4" s="58"/>
      <c r="T4" s="58"/>
      <c r="U4" s="58"/>
      <c r="V4" s="58"/>
      <c r="W4" s="59"/>
      <c r="X4" s="54"/>
    </row>
    <row r="5" spans="1:24" ht="18.899999999999999" customHeight="1">
      <c r="A5" s="54"/>
      <c r="B5" s="63"/>
      <c r="C5" s="719" t="s">
        <v>848</v>
      </c>
      <c r="D5" s="719"/>
      <c r="E5" s="719"/>
      <c r="F5" s="719"/>
      <c r="G5" s="719"/>
      <c r="H5" s="223"/>
      <c r="I5" s="223"/>
      <c r="J5" s="223"/>
      <c r="K5" s="223"/>
      <c r="L5" s="223"/>
      <c r="M5" s="68"/>
      <c r="N5" s="54"/>
      <c r="O5" s="54"/>
      <c r="P5" s="63"/>
      <c r="Q5" s="719" t="s">
        <v>940</v>
      </c>
      <c r="R5" s="719"/>
      <c r="S5" s="719"/>
      <c r="T5" s="719"/>
      <c r="U5" s="719"/>
      <c r="V5" s="719"/>
      <c r="W5" s="60"/>
      <c r="X5" s="54"/>
    </row>
    <row r="6" spans="1:24" ht="18.899999999999999" customHeight="1">
      <c r="A6" s="54"/>
      <c r="B6" s="63"/>
      <c r="C6" t="s">
        <v>849</v>
      </c>
      <c r="M6" s="68"/>
      <c r="N6" s="54"/>
      <c r="O6" s="54"/>
      <c r="P6" s="63"/>
      <c r="Q6" t="s">
        <v>941</v>
      </c>
      <c r="W6" s="61"/>
      <c r="X6" s="54"/>
    </row>
    <row r="7" spans="1:24" ht="18.899999999999999" customHeight="1" thickBot="1">
      <c r="A7" s="54"/>
      <c r="B7" s="63"/>
      <c r="M7" s="68"/>
      <c r="N7" s="54"/>
      <c r="O7" s="54"/>
      <c r="P7" s="63"/>
      <c r="W7" s="61"/>
      <c r="X7" s="54"/>
    </row>
    <row r="8" spans="1:24" ht="18.899999999999999" customHeight="1" thickBot="1">
      <c r="A8" s="54"/>
      <c r="B8" s="63"/>
      <c r="C8" t="s">
        <v>850</v>
      </c>
      <c r="M8" s="68"/>
      <c r="N8" s="54"/>
      <c r="O8" s="54"/>
      <c r="P8" s="63"/>
      <c r="Q8" s="720" t="s">
        <v>942</v>
      </c>
      <c r="R8" s="445" t="s">
        <v>943</v>
      </c>
      <c r="S8" s="445"/>
      <c r="T8" s="445"/>
      <c r="U8" s="445" t="s">
        <v>944</v>
      </c>
      <c r="V8" s="446"/>
      <c r="W8" s="61"/>
      <c r="X8" s="54"/>
    </row>
    <row r="9" spans="1:24" ht="18.899999999999999" customHeight="1" thickBot="1">
      <c r="A9" s="54"/>
      <c r="B9" s="63"/>
      <c r="C9" s="722" t="s">
        <v>851</v>
      </c>
      <c r="D9" s="723"/>
      <c r="E9" s="724" t="s">
        <v>969</v>
      </c>
      <c r="F9" s="725"/>
      <c r="G9" s="726"/>
      <c r="H9" s="138"/>
      <c r="I9" s="43"/>
      <c r="J9" s="43"/>
      <c r="K9" s="43"/>
      <c r="L9" s="43"/>
      <c r="M9" s="69"/>
      <c r="N9" s="55"/>
      <c r="O9" s="55"/>
      <c r="P9" s="63"/>
      <c r="Q9" s="721"/>
      <c r="R9" s="447"/>
      <c r="S9" s="447"/>
      <c r="T9" s="447"/>
      <c r="U9" s="447"/>
      <c r="V9" s="448"/>
      <c r="W9" s="62"/>
      <c r="X9" s="54"/>
    </row>
    <row r="10" spans="1:24" ht="18.899999999999999" customHeight="1">
      <c r="A10" s="54"/>
      <c r="B10" s="63"/>
      <c r="C10" s="714" t="s">
        <v>852</v>
      </c>
      <c r="D10" s="715"/>
      <c r="E10" s="716" t="s">
        <v>895</v>
      </c>
      <c r="F10" s="717"/>
      <c r="G10" s="718"/>
      <c r="H10" s="137" t="s">
        <v>872</v>
      </c>
      <c r="I10" s="43"/>
      <c r="J10" s="43"/>
      <c r="K10" s="43"/>
      <c r="L10" s="43"/>
      <c r="M10" s="69"/>
      <c r="N10" s="55"/>
      <c r="O10" s="55"/>
      <c r="P10" s="63"/>
      <c r="Q10" s="668" t="s">
        <v>945</v>
      </c>
      <c r="R10" s="670" t="s">
        <v>950</v>
      </c>
      <c r="S10" s="680" t="str">
        <f>IFERROR(CO2固定!U15,"")</f>
        <v/>
      </c>
      <c r="T10" s="674" t="s">
        <v>957</v>
      </c>
      <c r="U10" s="676" t="str">
        <f>IFERROR(CO2固定!V15,"")</f>
        <v/>
      </c>
      <c r="V10" s="655" t="s">
        <v>964</v>
      </c>
      <c r="W10" s="62"/>
      <c r="X10" s="54"/>
    </row>
    <row r="11" spans="1:24" ht="18.899999999999999" customHeight="1" thickBot="1">
      <c r="A11" s="54"/>
      <c r="B11" s="63"/>
      <c r="C11" s="678" t="s">
        <v>853</v>
      </c>
      <c r="D11" s="679"/>
      <c r="E11" s="705" t="s">
        <v>970</v>
      </c>
      <c r="F11" s="706"/>
      <c r="G11" s="707"/>
      <c r="H11" s="137" t="s">
        <v>872</v>
      </c>
      <c r="I11" s="43"/>
      <c r="J11" s="43"/>
      <c r="K11" s="43"/>
      <c r="L11" s="43"/>
      <c r="M11" s="69"/>
      <c r="N11" s="55"/>
      <c r="O11" s="55"/>
      <c r="P11" s="63"/>
      <c r="Q11" s="669"/>
      <c r="R11" s="671"/>
      <c r="S11" s="681"/>
      <c r="T11" s="675"/>
      <c r="U11" s="677"/>
      <c r="V11" s="656"/>
      <c r="W11" s="62"/>
      <c r="X11" s="54"/>
    </row>
    <row r="12" spans="1:24" ht="18.899999999999999" customHeight="1">
      <c r="A12" s="54"/>
      <c r="B12" s="63"/>
      <c r="C12" s="26"/>
      <c r="D12" s="26"/>
      <c r="E12" s="43"/>
      <c r="F12" s="43"/>
      <c r="G12" s="43"/>
      <c r="H12" s="43"/>
      <c r="I12" s="43"/>
      <c r="J12" s="43"/>
      <c r="K12" s="43"/>
      <c r="L12" s="43"/>
      <c r="M12" s="69"/>
      <c r="N12" s="55"/>
      <c r="O12" s="55"/>
      <c r="P12" s="63"/>
      <c r="Q12" s="668" t="s">
        <v>946</v>
      </c>
      <c r="R12" s="689" t="s">
        <v>951</v>
      </c>
      <c r="S12" s="709" t="str">
        <f>IFERROR(大気浄化!E14,"")</f>
        <v/>
      </c>
      <c r="T12" s="711" t="s">
        <v>958</v>
      </c>
      <c r="U12" s="712" t="e">
        <f>大気浄化!E26</f>
        <v>#N/A</v>
      </c>
      <c r="V12" s="713" t="s">
        <v>964</v>
      </c>
      <c r="W12" s="62"/>
      <c r="X12" s="54"/>
    </row>
    <row r="13" spans="1:24" ht="18.899999999999999" customHeight="1" thickBot="1">
      <c r="A13" s="54"/>
      <c r="B13" s="63"/>
      <c r="C13" s="73" t="s">
        <v>854</v>
      </c>
      <c r="D13" s="73"/>
      <c r="E13" s="73"/>
      <c r="F13" s="73"/>
      <c r="G13" s="43"/>
      <c r="H13" s="43"/>
      <c r="I13" s="43"/>
      <c r="J13" s="43"/>
      <c r="K13" s="43"/>
      <c r="L13" s="43"/>
      <c r="M13" s="69"/>
      <c r="N13" s="56"/>
      <c r="O13" s="56"/>
      <c r="P13" s="63"/>
      <c r="Q13" s="708"/>
      <c r="R13" s="690"/>
      <c r="S13" s="710"/>
      <c r="T13" s="692"/>
      <c r="U13" s="694"/>
      <c r="V13" s="657"/>
      <c r="W13" s="62"/>
      <c r="X13" s="54"/>
    </row>
    <row r="14" spans="1:24" ht="18.899999999999999" customHeight="1">
      <c r="A14" s="54"/>
      <c r="B14" s="63"/>
      <c r="C14" s="701" t="s">
        <v>855</v>
      </c>
      <c r="D14" s="702"/>
      <c r="E14" s="703">
        <v>16700</v>
      </c>
      <c r="F14" s="703"/>
      <c r="G14" s="704"/>
      <c r="H14" s="137"/>
      <c r="I14" s="129"/>
      <c r="J14" s="129"/>
      <c r="K14" s="129"/>
      <c r="L14" s="129"/>
      <c r="M14" s="70"/>
      <c r="N14" s="56"/>
      <c r="O14" s="56"/>
      <c r="P14" s="63"/>
      <c r="Q14" s="708"/>
      <c r="R14" s="689" t="s">
        <v>952</v>
      </c>
      <c r="S14" s="691" t="str">
        <f>IFERROR(大気浄化!E15,"")</f>
        <v/>
      </c>
      <c r="T14" s="692" t="s">
        <v>959</v>
      </c>
      <c r="U14" s="694" t="e">
        <f>大気浄化!E27</f>
        <v>#N/A</v>
      </c>
      <c r="V14" s="657" t="s">
        <v>965</v>
      </c>
      <c r="W14" s="62"/>
      <c r="X14" s="54"/>
    </row>
    <row r="15" spans="1:24" ht="18.899999999999999" customHeight="1" thickBot="1">
      <c r="A15" s="54"/>
      <c r="B15" s="63"/>
      <c r="C15" s="685" t="s">
        <v>856</v>
      </c>
      <c r="D15" s="605"/>
      <c r="E15" s="686" t="s">
        <v>933</v>
      </c>
      <c r="F15" s="687"/>
      <c r="G15" s="688"/>
      <c r="H15" s="137" t="s">
        <v>872</v>
      </c>
      <c r="I15" s="129"/>
      <c r="J15" s="129"/>
      <c r="K15" s="129"/>
      <c r="L15" s="129"/>
      <c r="M15" s="70"/>
      <c r="N15" s="56"/>
      <c r="O15" s="56"/>
      <c r="P15" s="63"/>
      <c r="Q15" s="708"/>
      <c r="R15" s="690"/>
      <c r="S15" s="696"/>
      <c r="T15" s="692"/>
      <c r="U15" s="694"/>
      <c r="V15" s="657"/>
      <c r="W15" s="62"/>
      <c r="X15" s="54"/>
    </row>
    <row r="16" spans="1:24" ht="18.899999999999999" customHeight="1">
      <c r="A16" s="54"/>
      <c r="B16" s="63"/>
      <c r="C16" s="697" t="s">
        <v>857</v>
      </c>
      <c r="D16" s="698"/>
      <c r="E16" s="699">
        <v>6</v>
      </c>
      <c r="F16" s="699"/>
      <c r="G16" s="700"/>
      <c r="H16" s="137"/>
      <c r="I16" s="129"/>
      <c r="J16" s="129"/>
      <c r="K16" s="129"/>
      <c r="L16" s="129"/>
      <c r="M16" s="70"/>
      <c r="N16" s="56"/>
      <c r="O16" s="56"/>
      <c r="P16" s="63"/>
      <c r="Q16" s="708"/>
      <c r="R16" s="689" t="s">
        <v>953</v>
      </c>
      <c r="S16" s="691" t="str">
        <f>IFERROR(大気浄化!E16,"")</f>
        <v/>
      </c>
      <c r="T16" s="692" t="s">
        <v>960</v>
      </c>
      <c r="U16" s="694" t="e">
        <f>大気浄化!E28</f>
        <v>#N/A</v>
      </c>
      <c r="V16" s="657" t="s">
        <v>964</v>
      </c>
      <c r="W16" s="62"/>
      <c r="X16" s="54"/>
    </row>
    <row r="17" spans="1:25" ht="18.899999999999999" customHeight="1" thickBot="1">
      <c r="A17" s="54"/>
      <c r="B17" s="63"/>
      <c r="C17" s="697" t="s">
        <v>858</v>
      </c>
      <c r="D17" s="698"/>
      <c r="E17" s="699" t="s">
        <v>926</v>
      </c>
      <c r="F17" s="699"/>
      <c r="G17" s="700"/>
      <c r="H17" s="137" t="s">
        <v>872</v>
      </c>
      <c r="I17" s="43"/>
      <c r="J17" s="43"/>
      <c r="K17" s="43"/>
      <c r="L17" s="43"/>
      <c r="M17" s="69"/>
      <c r="N17" s="55"/>
      <c r="O17" s="55"/>
      <c r="P17" s="63"/>
      <c r="Q17" s="669"/>
      <c r="R17" s="690"/>
      <c r="S17" s="684"/>
      <c r="T17" s="693"/>
      <c r="U17" s="695"/>
      <c r="V17" s="658"/>
      <c r="W17" s="62"/>
      <c r="X17" s="54"/>
    </row>
    <row r="18" spans="1:25" ht="18.899999999999999" customHeight="1" thickBot="1">
      <c r="A18" s="54"/>
      <c r="B18" s="63"/>
      <c r="C18" s="678" t="s">
        <v>859</v>
      </c>
      <c r="D18" s="679"/>
      <c r="E18" s="682" t="s">
        <v>867</v>
      </c>
      <c r="F18" s="682"/>
      <c r="G18" s="683"/>
      <c r="H18" s="137" t="s">
        <v>872</v>
      </c>
      <c r="I18" s="43"/>
      <c r="J18" s="43"/>
      <c r="K18" s="43"/>
      <c r="L18" s="43"/>
      <c r="M18" s="69"/>
      <c r="N18" s="55"/>
      <c r="O18" s="55"/>
      <c r="P18" s="63"/>
      <c r="Q18" s="668" t="s">
        <v>947</v>
      </c>
      <c r="R18" s="670" t="s">
        <v>954</v>
      </c>
      <c r="S18" s="672" t="str">
        <f>IFERROR(大気浄化!E17,"")</f>
        <v/>
      </c>
      <c r="T18" s="674" t="s">
        <v>961</v>
      </c>
      <c r="U18" s="653" t="e">
        <f>大気浄化!E29</f>
        <v>#N/A</v>
      </c>
      <c r="V18" s="655" t="s">
        <v>964</v>
      </c>
      <c r="W18" s="62"/>
      <c r="X18" s="54"/>
    </row>
    <row r="19" spans="1:25" ht="18.899999999999999" customHeight="1" thickBot="1">
      <c r="A19" s="54"/>
      <c r="B19" s="63"/>
      <c r="C19" s="128"/>
      <c r="D19" s="128"/>
      <c r="E19" s="26"/>
      <c r="F19" s="26"/>
      <c r="G19" s="43"/>
      <c r="H19" s="659" t="s">
        <v>972</v>
      </c>
      <c r="I19" s="659"/>
      <c r="J19" s="659"/>
      <c r="K19" s="659"/>
      <c r="L19" s="659"/>
      <c r="M19" s="69"/>
      <c r="N19" s="56"/>
      <c r="O19" s="56"/>
      <c r="P19" s="63"/>
      <c r="Q19" s="669"/>
      <c r="R19" s="671"/>
      <c r="S19" s="684"/>
      <c r="T19" s="675"/>
      <c r="U19" s="654"/>
      <c r="V19" s="656"/>
      <c r="W19" s="62"/>
      <c r="X19" s="54"/>
    </row>
    <row r="20" spans="1:25" ht="18.899999999999999" customHeight="1">
      <c r="A20" s="54"/>
      <c r="B20" s="63"/>
      <c r="C20" s="128"/>
      <c r="D20" s="128"/>
      <c r="E20" s="26"/>
      <c r="F20" s="26"/>
      <c r="G20" s="43"/>
      <c r="H20" s="659"/>
      <c r="I20" s="659"/>
      <c r="J20" s="659"/>
      <c r="K20" s="659"/>
      <c r="L20" s="659"/>
      <c r="M20" s="69"/>
      <c r="N20" s="56"/>
      <c r="O20" s="56"/>
      <c r="P20" s="63"/>
      <c r="Q20" s="668" t="s">
        <v>949</v>
      </c>
      <c r="R20" s="670" t="s">
        <v>955</v>
      </c>
      <c r="S20" s="680" t="e">
        <f>貯水量!L2</f>
        <v>#N/A</v>
      </c>
      <c r="T20" s="674" t="s">
        <v>962</v>
      </c>
      <c r="U20" s="653" t="e">
        <f>貯水量!L4</f>
        <v>#N/A</v>
      </c>
      <c r="V20" s="655" t="s">
        <v>964</v>
      </c>
      <c r="W20" s="62"/>
      <c r="X20" s="54"/>
    </row>
    <row r="21" spans="1:25" ht="18.899999999999999" customHeight="1" thickBot="1">
      <c r="A21" s="54"/>
      <c r="B21" s="63"/>
      <c r="C21" s="130" t="s">
        <v>860</v>
      </c>
      <c r="D21" s="128"/>
      <c r="E21" s="26"/>
      <c r="F21" s="26"/>
      <c r="G21" s="43"/>
      <c r="H21" s="43"/>
      <c r="I21" s="43"/>
      <c r="J21" s="43"/>
      <c r="K21" s="43"/>
      <c r="L21" s="43"/>
      <c r="M21" s="69"/>
      <c r="N21" s="55"/>
      <c r="O21" s="55"/>
      <c r="P21" s="63"/>
      <c r="Q21" s="669"/>
      <c r="R21" s="671"/>
      <c r="S21" s="681"/>
      <c r="T21" s="675"/>
      <c r="U21" s="654"/>
      <c r="V21" s="656"/>
      <c r="W21" s="62"/>
      <c r="X21" s="54"/>
    </row>
    <row r="22" spans="1:25" ht="18.899999999999999" customHeight="1">
      <c r="A22" s="54"/>
      <c r="B22" s="63"/>
      <c r="C22" s="575" t="s">
        <v>871</v>
      </c>
      <c r="D22" s="575"/>
      <c r="E22" s="235" t="s">
        <v>861</v>
      </c>
      <c r="F22" s="145">
        <f>IF('生育指数(広葉樹)'!F4&lt;=0,"",'生育指数(広葉樹)'!F4)</f>
        <v>1.9889271384950904</v>
      </c>
      <c r="G22" s="652" t="s">
        <v>862</v>
      </c>
      <c r="H22" s="652"/>
      <c r="I22" s="652"/>
      <c r="J22" s="652"/>
      <c r="K22" s="236" t="s">
        <v>440</v>
      </c>
      <c r="L22" s="234" t="s">
        <v>866</v>
      </c>
      <c r="M22" s="69"/>
      <c r="N22" s="55"/>
      <c r="O22" s="55"/>
      <c r="P22" s="63"/>
      <c r="Q22" s="668" t="s">
        <v>948</v>
      </c>
      <c r="R22" s="670" t="s">
        <v>956</v>
      </c>
      <c r="S22" s="672" t="e">
        <f>'蒸散（ドライミスト）1'!Q9</f>
        <v>#N/A</v>
      </c>
      <c r="T22" s="674" t="s">
        <v>963</v>
      </c>
      <c r="U22" s="676" t="e">
        <f>'蒸散（ドライミスト）1'!Q13</f>
        <v>#N/A</v>
      </c>
      <c r="V22" s="655" t="s">
        <v>964</v>
      </c>
      <c r="W22" s="62"/>
      <c r="X22" s="54"/>
    </row>
    <row r="23" spans="1:25" ht="18.899999999999999" customHeight="1" thickBot="1">
      <c r="A23" s="54"/>
      <c r="B23" s="63"/>
      <c r="C23" s="575"/>
      <c r="D23" s="575"/>
      <c r="E23" s="235" t="s">
        <v>863</v>
      </c>
      <c r="F23" s="145">
        <f>IF('生育指数(広葉樹)'!F4&lt;=0,"",'生育指数(広葉樹)'!F4)</f>
        <v>1.9889271384950904</v>
      </c>
      <c r="G23" s="124" t="s">
        <v>864</v>
      </c>
      <c r="H23" s="124"/>
      <c r="I23" s="145">
        <f>IF('生育指数(広葉樹)'!F5&lt;=0,"",'生育指数(広葉樹)'!F5)</f>
        <v>1.1243518416437324</v>
      </c>
      <c r="J23" s="145" t="s">
        <v>2</v>
      </c>
      <c r="K23" s="236" t="s">
        <v>440</v>
      </c>
      <c r="L23" s="234" t="s">
        <v>868</v>
      </c>
      <c r="M23" s="69"/>
      <c r="N23" s="56"/>
      <c r="O23" s="56"/>
      <c r="P23" s="63"/>
      <c r="Q23" s="669"/>
      <c r="R23" s="671"/>
      <c r="S23" s="673"/>
      <c r="T23" s="675"/>
      <c r="U23" s="677"/>
      <c r="V23" s="656"/>
      <c r="W23" s="62"/>
      <c r="X23" s="54"/>
    </row>
    <row r="24" spans="1:25" ht="18.899999999999999" customHeight="1">
      <c r="A24" s="54"/>
      <c r="B24" s="63"/>
      <c r="C24" s="575"/>
      <c r="D24" s="575"/>
      <c r="E24" s="237" t="s">
        <v>863</v>
      </c>
      <c r="F24" s="145">
        <f>IF('生育指数(広葉樹)'!F5&lt;=0,"",'生育指数(広葉樹)'!F5)</f>
        <v>1.1243518416437324</v>
      </c>
      <c r="G24" s="652" t="s">
        <v>865</v>
      </c>
      <c r="H24" s="652"/>
      <c r="I24" s="652"/>
      <c r="J24" s="652"/>
      <c r="K24" s="236" t="s">
        <v>440</v>
      </c>
      <c r="L24" s="234" t="s">
        <v>869</v>
      </c>
      <c r="M24" s="69"/>
      <c r="N24" s="56"/>
      <c r="O24" s="56"/>
      <c r="P24" s="63"/>
      <c r="Q24" s="660" t="s">
        <v>967</v>
      </c>
      <c r="R24" s="661"/>
      <c r="S24" s="661"/>
      <c r="T24" s="661"/>
      <c r="U24" s="664" t="e">
        <f>IF(SUM(U10:U23)=0,"",SUM(U10:U23))</f>
        <v>#N/A</v>
      </c>
      <c r="V24" s="666" t="s">
        <v>964</v>
      </c>
      <c r="W24" s="62"/>
      <c r="X24" s="54"/>
    </row>
    <row r="25" spans="1:25" ht="18.899999999999999" customHeight="1" thickBot="1">
      <c r="A25" s="54"/>
      <c r="B25" s="63"/>
      <c r="C25" s="171" t="s">
        <v>870</v>
      </c>
      <c r="D25" s="128"/>
      <c r="E25" s="26"/>
      <c r="F25" s="26"/>
      <c r="G25" s="43"/>
      <c r="H25" s="43"/>
      <c r="I25" s="43"/>
      <c r="J25" s="43"/>
      <c r="K25" s="43"/>
      <c r="L25" s="43"/>
      <c r="M25" s="69"/>
      <c r="N25" s="55"/>
      <c r="O25" s="55"/>
      <c r="P25" s="63"/>
      <c r="Q25" s="662"/>
      <c r="R25" s="663"/>
      <c r="S25" s="663"/>
      <c r="T25" s="663"/>
      <c r="U25" s="665"/>
      <c r="V25" s="667"/>
      <c r="W25" s="62"/>
      <c r="X25" s="54"/>
    </row>
    <row r="26" spans="1:25" ht="18.899999999999999" customHeight="1" thickBot="1">
      <c r="A26" s="54"/>
      <c r="B26" s="82"/>
      <c r="C26" s="83"/>
      <c r="D26" s="83"/>
      <c r="E26" s="71"/>
      <c r="F26" s="71"/>
      <c r="G26" s="84"/>
      <c r="H26" s="84"/>
      <c r="I26" s="84"/>
      <c r="J26" s="84"/>
      <c r="K26" s="84"/>
      <c r="L26" s="84"/>
      <c r="M26" s="85"/>
      <c r="N26" s="55"/>
      <c r="O26" s="55"/>
      <c r="P26" s="63"/>
      <c r="Q26" s="644" t="s">
        <v>968</v>
      </c>
      <c r="R26" s="645"/>
      <c r="S26" s="645"/>
      <c r="T26" s="645"/>
      <c r="U26" s="648" t="str">
        <f>IFERROR(U24/E14,"")</f>
        <v/>
      </c>
      <c r="V26" s="650" t="s">
        <v>966</v>
      </c>
      <c r="W26" s="62"/>
      <c r="X26" s="54"/>
    </row>
    <row r="27" spans="1:25" ht="18.899999999999999" customHeight="1" thickTop="1" thickBot="1">
      <c r="A27" s="54"/>
      <c r="B27" s="54"/>
      <c r="C27" s="54"/>
      <c r="D27" s="54"/>
      <c r="E27" s="54"/>
      <c r="F27" s="54"/>
      <c r="G27" s="54"/>
      <c r="H27" s="54"/>
      <c r="I27" s="54"/>
      <c r="J27" s="54"/>
      <c r="K27" s="54"/>
      <c r="L27" s="54"/>
      <c r="M27" s="54"/>
      <c r="N27" s="55"/>
      <c r="O27" s="55"/>
      <c r="P27" s="63"/>
      <c r="Q27" s="646"/>
      <c r="R27" s="647"/>
      <c r="S27" s="647"/>
      <c r="T27" s="647"/>
      <c r="U27" s="649"/>
      <c r="V27" s="651"/>
      <c r="W27" s="127"/>
      <c r="X27" s="54"/>
    </row>
    <row r="28" spans="1:25" ht="18.899999999999999" customHeight="1" thickBot="1">
      <c r="A28" s="54"/>
      <c r="B28" s="131" t="s">
        <v>493</v>
      </c>
      <c r="C28" s="54"/>
      <c r="D28" s="54"/>
      <c r="E28" s="54"/>
      <c r="F28" s="54"/>
      <c r="G28" s="54"/>
      <c r="H28" s="54"/>
      <c r="I28" s="54"/>
      <c r="J28" s="54"/>
      <c r="K28" s="54"/>
      <c r="L28" s="54"/>
      <c r="M28" s="54"/>
      <c r="N28" s="55"/>
      <c r="O28" s="55"/>
      <c r="P28" s="64"/>
      <c r="Q28" s="65"/>
      <c r="R28" s="65"/>
      <c r="S28" s="65"/>
      <c r="T28" s="65"/>
      <c r="U28" s="65"/>
      <c r="V28" s="65"/>
      <c r="W28" s="67"/>
      <c r="X28" s="54"/>
      <c r="Y28" s="77"/>
    </row>
    <row r="29" spans="1:25" ht="18.899999999999999" customHeight="1" thickTop="1">
      <c r="A29" s="54"/>
      <c r="B29" s="75"/>
      <c r="C29" s="75"/>
      <c r="D29" s="75"/>
      <c r="E29" s="75"/>
      <c r="F29" s="75"/>
      <c r="G29" s="75"/>
      <c r="H29" s="86"/>
      <c r="I29" s="86"/>
      <c r="J29" s="86"/>
      <c r="K29" s="86"/>
      <c r="L29" s="86"/>
      <c r="M29" s="54"/>
      <c r="N29" s="56"/>
      <c r="O29" s="56"/>
      <c r="P29" s="54"/>
      <c r="Q29" s="54"/>
      <c r="R29" s="54"/>
      <c r="S29" s="54"/>
      <c r="T29" s="54"/>
      <c r="U29" s="54"/>
      <c r="V29" s="54"/>
      <c r="W29" s="54"/>
      <c r="X29" s="54"/>
    </row>
    <row r="30" spans="1:25" ht="18.899999999999999" customHeight="1">
      <c r="B30" s="52"/>
      <c r="C30" s="52"/>
      <c r="D30" s="52"/>
      <c r="E30" s="52"/>
      <c r="F30" s="52"/>
      <c r="G30" s="52"/>
      <c r="H30" s="52"/>
      <c r="I30" s="52"/>
      <c r="J30" s="52"/>
      <c r="K30" s="52"/>
      <c r="L30" s="52"/>
      <c r="M30" s="52"/>
      <c r="N30" s="43"/>
      <c r="O30" s="43"/>
    </row>
    <row r="31" spans="1:25" ht="18.899999999999999" customHeight="1">
      <c r="B31" s="76"/>
      <c r="C31" s="76"/>
      <c r="D31" s="76"/>
      <c r="E31" s="76"/>
      <c r="F31" s="76"/>
      <c r="G31" s="76"/>
      <c r="H31" s="76"/>
      <c r="I31" s="76"/>
      <c r="J31" s="76"/>
      <c r="K31" s="76"/>
      <c r="L31" s="76"/>
      <c r="M31" s="76"/>
      <c r="N31" s="129"/>
      <c r="O31" s="129"/>
    </row>
    <row r="32" spans="1:25" ht="18.899999999999999" customHeight="1">
      <c r="B32" s="52"/>
      <c r="C32" s="132" t="s">
        <v>156</v>
      </c>
      <c r="D32" s="136" t="s">
        <v>501</v>
      </c>
      <c r="E32" s="132" t="s">
        <v>157</v>
      </c>
      <c r="F32" s="132" t="s">
        <v>219</v>
      </c>
      <c r="G32" s="132" t="s">
        <v>843</v>
      </c>
      <c r="H32" s="53"/>
      <c r="I32" s="53"/>
      <c r="J32" s="53"/>
      <c r="K32" s="53"/>
      <c r="L32" s="53"/>
      <c r="M32" s="53"/>
      <c r="N32" s="129"/>
      <c r="O32" s="129"/>
    </row>
    <row r="33" spans="2:24">
      <c r="B33" s="52"/>
      <c r="C33" s="52" t="s">
        <v>873</v>
      </c>
      <c r="D33" s="133" t="s">
        <v>253</v>
      </c>
      <c r="E33" s="52" t="s">
        <v>925</v>
      </c>
      <c r="F33" s="52" t="s">
        <v>921</v>
      </c>
      <c r="G33" t="s">
        <v>924</v>
      </c>
      <c r="H33" s="52"/>
      <c r="I33" s="52"/>
      <c r="J33" s="52"/>
      <c r="K33" s="52"/>
      <c r="L33" s="52"/>
      <c r="M33" s="129"/>
      <c r="N33" s="43"/>
      <c r="O33" s="43"/>
    </row>
    <row r="34" spans="2:24">
      <c r="B34" s="52"/>
      <c r="C34" s="52" t="s">
        <v>874</v>
      </c>
      <c r="D34" s="157" t="s">
        <v>536</v>
      </c>
      <c r="E34" s="52" t="s">
        <v>927</v>
      </c>
      <c r="F34" s="52" t="s">
        <v>922</v>
      </c>
      <c r="G34" t="s">
        <v>929</v>
      </c>
      <c r="H34" s="52"/>
      <c r="I34" s="52"/>
      <c r="J34" s="52"/>
      <c r="K34" s="52"/>
      <c r="L34" s="52"/>
      <c r="M34" s="129"/>
      <c r="N34" s="129"/>
      <c r="O34"/>
      <c r="W34" s="52"/>
      <c r="X34"/>
    </row>
    <row r="35" spans="2:24">
      <c r="B35" s="52"/>
      <c r="C35" s="52" t="s">
        <v>875</v>
      </c>
      <c r="D35" s="133" t="s">
        <v>256</v>
      </c>
      <c r="E35" s="52" t="s">
        <v>928</v>
      </c>
      <c r="F35" s="52" t="s">
        <v>923</v>
      </c>
      <c r="G35" t="s">
        <v>930</v>
      </c>
      <c r="H35" s="52"/>
      <c r="I35" s="52"/>
      <c r="J35" s="52"/>
      <c r="K35" s="52"/>
      <c r="L35" s="52"/>
      <c r="M35" s="43"/>
      <c r="N35" s="129"/>
      <c r="O35"/>
      <c r="W35" s="52"/>
      <c r="X35"/>
    </row>
    <row r="36" spans="2:24">
      <c r="B36" s="52"/>
      <c r="C36" s="52" t="s">
        <v>876</v>
      </c>
      <c r="D36" s="133" t="s">
        <v>257</v>
      </c>
      <c r="E36" s="52"/>
      <c r="F36" s="52"/>
      <c r="G36" t="s">
        <v>931</v>
      </c>
      <c r="H36" s="52"/>
      <c r="I36" s="52"/>
      <c r="J36" s="52"/>
      <c r="K36" s="52"/>
      <c r="L36" s="52"/>
      <c r="M36" s="52"/>
      <c r="N36" s="43"/>
      <c r="O36"/>
      <c r="W36" s="52"/>
      <c r="X36"/>
    </row>
    <row r="37" spans="2:24">
      <c r="C37" t="s">
        <v>877</v>
      </c>
      <c r="D37" s="133" t="s">
        <v>258</v>
      </c>
      <c r="G37" t="s">
        <v>934</v>
      </c>
      <c r="M37" s="52"/>
      <c r="O37"/>
      <c r="W37" s="52"/>
      <c r="X37"/>
    </row>
    <row r="38" spans="2:24">
      <c r="C38" t="s">
        <v>878</v>
      </c>
      <c r="D38" s="133" t="s">
        <v>259</v>
      </c>
      <c r="G38" t="s">
        <v>932</v>
      </c>
      <c r="M38" s="52"/>
      <c r="O38"/>
      <c r="W38" s="52"/>
      <c r="X38"/>
    </row>
    <row r="39" spans="2:24">
      <c r="C39" t="s">
        <v>879</v>
      </c>
      <c r="D39" s="133" t="s">
        <v>260</v>
      </c>
      <c r="G39" t="s">
        <v>935</v>
      </c>
      <c r="M39" s="52"/>
      <c r="O39"/>
      <c r="W39" s="52"/>
      <c r="X39"/>
    </row>
    <row r="40" spans="2:24">
      <c r="C40" t="s">
        <v>880</v>
      </c>
      <c r="D40" s="133" t="s">
        <v>261</v>
      </c>
      <c r="G40" t="s">
        <v>936</v>
      </c>
      <c r="M40" s="52"/>
      <c r="O40"/>
      <c r="W40" s="52"/>
      <c r="X40"/>
    </row>
    <row r="41" spans="2:24">
      <c r="C41" t="s">
        <v>881</v>
      </c>
      <c r="D41" s="133" t="s">
        <v>262</v>
      </c>
      <c r="G41" t="s">
        <v>937</v>
      </c>
      <c r="M41" s="52"/>
      <c r="O41"/>
      <c r="W41" s="52"/>
      <c r="X41"/>
    </row>
    <row r="42" spans="2:24">
      <c r="C42" t="s">
        <v>882</v>
      </c>
      <c r="D42" s="133" t="s">
        <v>263</v>
      </c>
      <c r="G42" t="s">
        <v>938</v>
      </c>
      <c r="M42" s="52"/>
      <c r="O42"/>
      <c r="W42" s="52"/>
      <c r="X42"/>
    </row>
    <row r="43" spans="2:24">
      <c r="C43" t="s">
        <v>883</v>
      </c>
      <c r="D43" s="133" t="s">
        <v>264</v>
      </c>
      <c r="M43" s="52"/>
      <c r="O43"/>
      <c r="W43" s="52"/>
      <c r="X43"/>
    </row>
    <row r="44" spans="2:24">
      <c r="C44" t="s">
        <v>884</v>
      </c>
      <c r="D44" s="133" t="s">
        <v>265</v>
      </c>
      <c r="M44" s="52"/>
      <c r="O44"/>
      <c r="W44" s="52"/>
      <c r="X44"/>
    </row>
    <row r="45" spans="2:24">
      <c r="C45" t="s">
        <v>885</v>
      </c>
      <c r="D45" s="133" t="s">
        <v>266</v>
      </c>
      <c r="M45" s="52"/>
      <c r="O45"/>
      <c r="W45" s="52"/>
      <c r="X45"/>
    </row>
    <row r="46" spans="2:24">
      <c r="C46" t="s">
        <v>886</v>
      </c>
      <c r="D46" s="133" t="s">
        <v>267</v>
      </c>
      <c r="M46" s="52"/>
      <c r="O46"/>
      <c r="W46" s="52"/>
      <c r="X46"/>
    </row>
    <row r="47" spans="2:24">
      <c r="C47" t="s">
        <v>887</v>
      </c>
      <c r="D47" s="133" t="s">
        <v>268</v>
      </c>
      <c r="M47" s="52"/>
      <c r="O47"/>
      <c r="W47" s="52"/>
      <c r="X47"/>
    </row>
    <row r="48" spans="2:24">
      <c r="C48" t="s">
        <v>888</v>
      </c>
      <c r="D48" s="133" t="s">
        <v>269</v>
      </c>
      <c r="M48" s="52"/>
      <c r="O48"/>
      <c r="W48" s="52"/>
      <c r="X48"/>
    </row>
    <row r="49" spans="3:24">
      <c r="C49" t="s">
        <v>889</v>
      </c>
      <c r="D49" s="133" t="s">
        <v>270</v>
      </c>
      <c r="M49" s="52"/>
      <c r="O49"/>
      <c r="W49" s="52"/>
      <c r="X49"/>
    </row>
    <row r="50" spans="3:24">
      <c r="C50" t="s">
        <v>890</v>
      </c>
      <c r="D50" s="133" t="s">
        <v>271</v>
      </c>
      <c r="M50" s="52"/>
      <c r="O50"/>
      <c r="W50" s="52"/>
      <c r="X50"/>
    </row>
    <row r="51" spans="3:24">
      <c r="C51" t="s">
        <v>891</v>
      </c>
      <c r="D51" s="133" t="s">
        <v>272</v>
      </c>
      <c r="M51" s="52"/>
      <c r="O51"/>
      <c r="W51" s="52"/>
      <c r="X51"/>
    </row>
    <row r="52" spans="3:24">
      <c r="C52" t="s">
        <v>892</v>
      </c>
      <c r="D52" s="133" t="s">
        <v>273</v>
      </c>
      <c r="M52" s="52"/>
      <c r="O52"/>
      <c r="W52" s="52"/>
      <c r="X52"/>
    </row>
    <row r="53" spans="3:24">
      <c r="C53" t="s">
        <v>893</v>
      </c>
      <c r="D53" s="133" t="s">
        <v>274</v>
      </c>
      <c r="M53" s="52"/>
      <c r="O53"/>
      <c r="W53" s="52"/>
      <c r="X53"/>
    </row>
    <row r="54" spans="3:24">
      <c r="C54" t="s">
        <v>894</v>
      </c>
      <c r="D54" s="133" t="s">
        <v>275</v>
      </c>
      <c r="M54" s="52"/>
      <c r="O54"/>
      <c r="W54" s="52"/>
      <c r="X54"/>
    </row>
    <row r="55" spans="3:24">
      <c r="C55" t="s">
        <v>896</v>
      </c>
      <c r="D55" s="133" t="s">
        <v>276</v>
      </c>
      <c r="M55" s="52"/>
      <c r="O55"/>
      <c r="W55" s="52"/>
      <c r="X55"/>
    </row>
    <row r="56" spans="3:24">
      <c r="C56" t="s">
        <v>897</v>
      </c>
      <c r="D56" s="133" t="s">
        <v>277</v>
      </c>
      <c r="M56" s="52"/>
      <c r="O56"/>
      <c r="W56" s="52"/>
      <c r="X56"/>
    </row>
    <row r="57" spans="3:24">
      <c r="C57" t="s">
        <v>898</v>
      </c>
      <c r="D57" s="133" t="s">
        <v>278</v>
      </c>
      <c r="M57" s="52"/>
      <c r="O57"/>
      <c r="W57" s="52"/>
      <c r="X57"/>
    </row>
    <row r="58" spans="3:24">
      <c r="C58" t="s">
        <v>899</v>
      </c>
      <c r="D58" s="133" t="s">
        <v>638</v>
      </c>
      <c r="M58" s="52"/>
      <c r="O58"/>
      <c r="W58" s="52"/>
      <c r="X58"/>
    </row>
    <row r="59" spans="3:24">
      <c r="C59" t="s">
        <v>900</v>
      </c>
      <c r="D59" s="133" t="s">
        <v>280</v>
      </c>
      <c r="M59" s="52"/>
      <c r="O59"/>
      <c r="W59" s="52"/>
      <c r="X59"/>
    </row>
    <row r="60" spans="3:24">
      <c r="C60" t="s">
        <v>901</v>
      </c>
      <c r="D60" s="133" t="s">
        <v>281</v>
      </c>
      <c r="M60" s="52"/>
      <c r="O60"/>
      <c r="W60" s="52"/>
      <c r="X60"/>
    </row>
    <row r="61" spans="3:24">
      <c r="C61" t="s">
        <v>902</v>
      </c>
      <c r="D61" s="133" t="s">
        <v>283</v>
      </c>
      <c r="M61" s="52"/>
      <c r="O61"/>
      <c r="W61" s="52"/>
      <c r="X61"/>
    </row>
    <row r="62" spans="3:24">
      <c r="C62" t="s">
        <v>903</v>
      </c>
      <c r="D62" s="133" t="s">
        <v>284</v>
      </c>
      <c r="M62" s="52"/>
      <c r="O62"/>
      <c r="W62" s="52"/>
      <c r="X62"/>
    </row>
    <row r="63" spans="3:24">
      <c r="C63" t="s">
        <v>904</v>
      </c>
      <c r="D63" s="133" t="s">
        <v>286</v>
      </c>
      <c r="M63" s="52"/>
      <c r="O63"/>
      <c r="W63" s="52"/>
      <c r="X63"/>
    </row>
    <row r="64" spans="3:24">
      <c r="C64" t="s">
        <v>905</v>
      </c>
      <c r="D64" s="133" t="s">
        <v>287</v>
      </c>
      <c r="M64" s="52"/>
      <c r="O64"/>
      <c r="W64" s="52"/>
      <c r="X64"/>
    </row>
    <row r="65" spans="3:24">
      <c r="C65" t="s">
        <v>906</v>
      </c>
      <c r="D65" s="133" t="s">
        <v>289</v>
      </c>
      <c r="M65" s="52"/>
      <c r="O65"/>
      <c r="W65" s="52"/>
      <c r="X65"/>
    </row>
    <row r="66" spans="3:24">
      <c r="C66" t="s">
        <v>907</v>
      </c>
      <c r="D66" s="133" t="s">
        <v>291</v>
      </c>
      <c r="M66" s="52"/>
      <c r="O66"/>
      <c r="W66" s="52"/>
      <c r="X66"/>
    </row>
    <row r="67" spans="3:24">
      <c r="C67" t="s">
        <v>908</v>
      </c>
      <c r="D67" s="133" t="s">
        <v>290</v>
      </c>
      <c r="M67" s="52"/>
      <c r="O67"/>
      <c r="W67" s="52"/>
      <c r="X67"/>
    </row>
    <row r="68" spans="3:24">
      <c r="C68" t="s">
        <v>909</v>
      </c>
      <c r="D68" s="133" t="s">
        <v>292</v>
      </c>
      <c r="M68" s="52"/>
      <c r="O68"/>
      <c r="W68" s="52"/>
      <c r="X68"/>
    </row>
    <row r="69" spans="3:24">
      <c r="C69" t="s">
        <v>910</v>
      </c>
      <c r="D69" s="133" t="s">
        <v>293</v>
      </c>
      <c r="M69" s="52"/>
      <c r="O69"/>
      <c r="W69" s="52"/>
      <c r="X69"/>
    </row>
    <row r="70" spans="3:24">
      <c r="C70" t="s">
        <v>911</v>
      </c>
      <c r="D70" s="133" t="s">
        <v>294</v>
      </c>
      <c r="M70" s="52"/>
      <c r="O70"/>
      <c r="W70" s="52"/>
      <c r="X70"/>
    </row>
    <row r="71" spans="3:24">
      <c r="C71" t="s">
        <v>912</v>
      </c>
      <c r="D71" s="133" t="s">
        <v>295</v>
      </c>
      <c r="M71" s="52"/>
      <c r="O71"/>
      <c r="W71" s="52"/>
      <c r="X71"/>
    </row>
    <row r="72" spans="3:24">
      <c r="C72" t="s">
        <v>913</v>
      </c>
      <c r="D72" s="157" t="s">
        <v>556</v>
      </c>
      <c r="M72" s="52"/>
      <c r="O72"/>
      <c r="W72" s="52"/>
      <c r="X72"/>
    </row>
    <row r="73" spans="3:24">
      <c r="C73" t="s">
        <v>914</v>
      </c>
      <c r="D73" s="133" t="s">
        <v>298</v>
      </c>
      <c r="M73" s="52"/>
      <c r="O73"/>
      <c r="W73" s="52"/>
      <c r="X73"/>
    </row>
    <row r="74" spans="3:24">
      <c r="C74" t="s">
        <v>915</v>
      </c>
      <c r="D74" s="133" t="s">
        <v>299</v>
      </c>
      <c r="M74" s="52"/>
      <c r="O74"/>
      <c r="W74" s="52"/>
      <c r="X74"/>
    </row>
    <row r="75" spans="3:24">
      <c r="C75" t="s">
        <v>916</v>
      </c>
      <c r="D75" s="157" t="s">
        <v>554</v>
      </c>
      <c r="M75" s="52"/>
      <c r="O75"/>
      <c r="W75" s="52"/>
      <c r="X75"/>
    </row>
    <row r="76" spans="3:24">
      <c r="C76" t="s">
        <v>917</v>
      </c>
      <c r="D76" s="133" t="s">
        <v>302</v>
      </c>
      <c r="M76" s="52"/>
      <c r="O76"/>
      <c r="W76" s="52"/>
      <c r="X76"/>
    </row>
    <row r="77" spans="3:24">
      <c r="C77" t="s">
        <v>918</v>
      </c>
      <c r="D77" s="133" t="s">
        <v>499</v>
      </c>
      <c r="M77" s="52"/>
      <c r="O77"/>
      <c r="W77" s="52"/>
      <c r="X77"/>
    </row>
    <row r="78" spans="3:24">
      <c r="C78" t="s">
        <v>919</v>
      </c>
      <c r="D78" s="133" t="s">
        <v>306</v>
      </c>
      <c r="M78" s="52"/>
      <c r="O78"/>
      <c r="W78" s="52"/>
      <c r="X78"/>
    </row>
    <row r="79" spans="3:24">
      <c r="C79" t="s">
        <v>920</v>
      </c>
      <c r="D79" s="133" t="s">
        <v>307</v>
      </c>
      <c r="M79" s="52"/>
      <c r="O79"/>
      <c r="W79" s="52"/>
      <c r="X79"/>
    </row>
    <row r="80" spans="3:24">
      <c r="D80" s="133" t="s">
        <v>308</v>
      </c>
      <c r="M80" s="52"/>
      <c r="O80"/>
      <c r="W80" s="52"/>
      <c r="X80"/>
    </row>
    <row r="81" spans="4:24">
      <c r="D81" s="133" t="s">
        <v>310</v>
      </c>
      <c r="M81" s="52"/>
      <c r="O81"/>
      <c r="W81" s="52"/>
      <c r="X81"/>
    </row>
    <row r="82" spans="4:24">
      <c r="D82" s="133" t="s">
        <v>311</v>
      </c>
      <c r="M82" s="52"/>
      <c r="O82"/>
      <c r="W82" s="52"/>
      <c r="X82"/>
    </row>
    <row r="83" spans="4:24">
      <c r="D83" s="133" t="s">
        <v>312</v>
      </c>
      <c r="M83" s="52"/>
      <c r="O83"/>
      <c r="W83" s="52"/>
      <c r="X83"/>
    </row>
    <row r="84" spans="4:24">
      <c r="D84" s="133" t="s">
        <v>314</v>
      </c>
      <c r="M84" s="52"/>
      <c r="O84"/>
      <c r="W84" s="52"/>
      <c r="X84"/>
    </row>
    <row r="85" spans="4:24">
      <c r="D85" s="133" t="s">
        <v>315</v>
      </c>
      <c r="M85" s="52"/>
      <c r="O85"/>
      <c r="W85" s="52"/>
      <c r="X85"/>
    </row>
    <row r="86" spans="4:24">
      <c r="D86" s="133" t="s">
        <v>316</v>
      </c>
      <c r="M86" s="52"/>
      <c r="O86"/>
      <c r="W86" s="52"/>
      <c r="X86"/>
    </row>
    <row r="87" spans="4:24">
      <c r="D87" s="133" t="s">
        <v>318</v>
      </c>
      <c r="M87" s="52"/>
      <c r="O87"/>
      <c r="W87" s="52"/>
      <c r="X87"/>
    </row>
    <row r="88" spans="4:24">
      <c r="D88" s="133" t="s">
        <v>320</v>
      </c>
      <c r="M88" s="52"/>
      <c r="O88"/>
      <c r="W88" s="52"/>
      <c r="X88"/>
    </row>
    <row r="89" spans="4:24">
      <c r="D89" s="133" t="s">
        <v>321</v>
      </c>
      <c r="M89" s="52"/>
      <c r="O89"/>
      <c r="W89" s="52"/>
      <c r="X89"/>
    </row>
    <row r="90" spans="4:24">
      <c r="D90" s="133" t="s">
        <v>322</v>
      </c>
      <c r="M90" s="52"/>
      <c r="O90"/>
      <c r="W90" s="52"/>
      <c r="X90"/>
    </row>
    <row r="91" spans="4:24">
      <c r="D91" s="133" t="s">
        <v>323</v>
      </c>
      <c r="M91" s="52"/>
      <c r="O91"/>
      <c r="W91" s="52"/>
      <c r="X91"/>
    </row>
    <row r="92" spans="4:24">
      <c r="D92" s="133" t="s">
        <v>324</v>
      </c>
      <c r="M92" s="52"/>
      <c r="O92"/>
      <c r="W92" s="52"/>
      <c r="X92"/>
    </row>
    <row r="93" spans="4:24">
      <c r="D93" s="133" t="s">
        <v>326</v>
      </c>
      <c r="M93" s="52"/>
      <c r="O93"/>
      <c r="W93" s="52"/>
      <c r="X93"/>
    </row>
    <row r="94" spans="4:24">
      <c r="D94" s="133" t="s">
        <v>327</v>
      </c>
      <c r="M94" s="52"/>
      <c r="O94"/>
      <c r="W94" s="52"/>
      <c r="X94"/>
    </row>
    <row r="95" spans="4:24">
      <c r="D95" s="133" t="s">
        <v>329</v>
      </c>
      <c r="M95" s="52"/>
      <c r="O95"/>
      <c r="W95" s="52"/>
      <c r="X95"/>
    </row>
    <row r="96" spans="4:24">
      <c r="D96" s="133" t="s">
        <v>330</v>
      </c>
      <c r="M96" s="52"/>
      <c r="O96"/>
      <c r="W96" s="52"/>
      <c r="X96"/>
    </row>
    <row r="97" spans="4:24">
      <c r="D97" s="157" t="s">
        <v>580</v>
      </c>
      <c r="M97" s="52"/>
      <c r="O97"/>
      <c r="W97" s="52"/>
      <c r="X97"/>
    </row>
    <row r="98" spans="4:24">
      <c r="D98" s="133" t="s">
        <v>333</v>
      </c>
      <c r="M98" s="52"/>
      <c r="O98"/>
      <c r="W98" s="52"/>
      <c r="X98"/>
    </row>
    <row r="99" spans="4:24">
      <c r="D99" s="133" t="s">
        <v>334</v>
      </c>
      <c r="M99" s="52"/>
      <c r="O99"/>
      <c r="W99" s="52"/>
      <c r="X99"/>
    </row>
    <row r="100" spans="4:24">
      <c r="D100" s="133" t="s">
        <v>335</v>
      </c>
      <c r="M100" s="52"/>
      <c r="O100"/>
      <c r="W100" s="52"/>
      <c r="X100"/>
    </row>
    <row r="101" spans="4:24">
      <c r="D101" s="133" t="s">
        <v>336</v>
      </c>
      <c r="M101" s="52"/>
      <c r="O101"/>
      <c r="W101" s="52"/>
      <c r="X101"/>
    </row>
    <row r="102" spans="4:24">
      <c r="D102" s="133" t="s">
        <v>337</v>
      </c>
      <c r="M102" s="52"/>
      <c r="O102"/>
      <c r="W102" s="52"/>
      <c r="X102"/>
    </row>
    <row r="103" spans="4:24">
      <c r="D103" s="133" t="s">
        <v>338</v>
      </c>
      <c r="M103" s="52"/>
      <c r="O103"/>
      <c r="W103" s="52"/>
      <c r="X103"/>
    </row>
    <row r="104" spans="4:24">
      <c r="D104" s="133" t="s">
        <v>339</v>
      </c>
      <c r="M104" s="52"/>
      <c r="O104"/>
      <c r="W104" s="52"/>
      <c r="X104"/>
    </row>
    <row r="105" spans="4:24">
      <c r="D105" s="133" t="s">
        <v>340</v>
      </c>
      <c r="M105" s="52"/>
      <c r="O105"/>
      <c r="W105" s="52"/>
      <c r="X105"/>
    </row>
    <row r="106" spans="4:24">
      <c r="D106" s="133" t="s">
        <v>342</v>
      </c>
      <c r="M106" s="52"/>
      <c r="O106"/>
      <c r="W106" s="52"/>
      <c r="X106"/>
    </row>
    <row r="107" spans="4:24">
      <c r="D107" s="133" t="s">
        <v>341</v>
      </c>
      <c r="M107" s="52"/>
      <c r="O107"/>
      <c r="W107" s="52"/>
      <c r="X107"/>
    </row>
    <row r="108" spans="4:24">
      <c r="D108" s="133" t="s">
        <v>343</v>
      </c>
      <c r="M108" s="52"/>
      <c r="O108"/>
      <c r="W108" s="52"/>
      <c r="X108"/>
    </row>
    <row r="109" spans="4:24">
      <c r="D109" s="157" t="s">
        <v>589</v>
      </c>
      <c r="M109" s="52"/>
      <c r="O109"/>
      <c r="W109" s="52"/>
      <c r="X109"/>
    </row>
    <row r="110" spans="4:24">
      <c r="D110" s="133" t="s">
        <v>345</v>
      </c>
      <c r="M110" s="52"/>
      <c r="O110"/>
      <c r="W110" s="52"/>
      <c r="X110"/>
    </row>
    <row r="111" spans="4:24">
      <c r="D111" s="133" t="s">
        <v>971</v>
      </c>
      <c r="M111" s="52"/>
      <c r="O111"/>
      <c r="W111" s="52"/>
      <c r="X111"/>
    </row>
    <row r="112" spans="4:24">
      <c r="D112" s="133" t="s">
        <v>348</v>
      </c>
      <c r="M112" s="52"/>
      <c r="O112"/>
      <c r="W112" s="52"/>
      <c r="X112"/>
    </row>
    <row r="113" spans="4:24">
      <c r="D113" s="133" t="s">
        <v>350</v>
      </c>
      <c r="M113" s="52"/>
      <c r="O113"/>
      <c r="W113" s="52"/>
      <c r="X113"/>
    </row>
    <row r="114" spans="4:24">
      <c r="D114" s="133" t="s">
        <v>352</v>
      </c>
      <c r="M114" s="52"/>
      <c r="O114"/>
      <c r="W114" s="52"/>
      <c r="X114"/>
    </row>
    <row r="115" spans="4:24">
      <c r="D115" s="133" t="s">
        <v>353</v>
      </c>
      <c r="M115" s="52"/>
      <c r="O115"/>
      <c r="W115" s="52"/>
      <c r="X115"/>
    </row>
    <row r="116" spans="4:24">
      <c r="D116" s="133" t="s">
        <v>354</v>
      </c>
      <c r="M116" s="52"/>
      <c r="O116"/>
      <c r="W116" s="52"/>
      <c r="X116"/>
    </row>
    <row r="117" spans="4:24">
      <c r="D117" s="133" t="s">
        <v>357</v>
      </c>
      <c r="M117" s="52"/>
      <c r="O117"/>
      <c r="W117" s="52"/>
      <c r="X117"/>
    </row>
    <row r="118" spans="4:24">
      <c r="D118" s="133" t="s">
        <v>358</v>
      </c>
      <c r="M118" s="52"/>
      <c r="O118"/>
      <c r="W118" s="52"/>
      <c r="X118"/>
    </row>
    <row r="119" spans="4:24">
      <c r="D119" s="133" t="s">
        <v>359</v>
      </c>
      <c r="M119" s="52"/>
      <c r="O119"/>
      <c r="W119" s="52"/>
      <c r="X119"/>
    </row>
    <row r="120" spans="4:24">
      <c r="D120" s="133" t="s">
        <v>360</v>
      </c>
      <c r="M120" s="52"/>
      <c r="O120"/>
      <c r="W120" s="52"/>
      <c r="X120"/>
    </row>
    <row r="121" spans="4:24">
      <c r="D121" s="133" t="s">
        <v>361</v>
      </c>
      <c r="M121" s="52"/>
      <c r="O121"/>
      <c r="W121" s="52"/>
      <c r="X121"/>
    </row>
    <row r="122" spans="4:24">
      <c r="D122" s="133" t="s">
        <v>363</v>
      </c>
      <c r="M122" s="52"/>
      <c r="O122"/>
      <c r="W122" s="52"/>
      <c r="X122"/>
    </row>
    <row r="123" spans="4:24">
      <c r="D123" s="133" t="s">
        <v>365</v>
      </c>
      <c r="M123" s="52"/>
      <c r="O123"/>
      <c r="W123" s="52"/>
      <c r="X123"/>
    </row>
    <row r="124" spans="4:24">
      <c r="D124" s="133" t="s">
        <v>367</v>
      </c>
      <c r="M124" s="52"/>
      <c r="O124"/>
      <c r="W124" s="52"/>
      <c r="X124"/>
    </row>
    <row r="125" spans="4:24">
      <c r="D125" s="134" t="s">
        <v>369</v>
      </c>
      <c r="M125" s="52"/>
      <c r="O125"/>
      <c r="W125" s="52"/>
      <c r="X125"/>
    </row>
    <row r="126" spans="4:24">
      <c r="D126" s="134" t="s">
        <v>370</v>
      </c>
      <c r="M126" s="52"/>
      <c r="O126"/>
      <c r="W126" s="52"/>
      <c r="X126"/>
    </row>
    <row r="127" spans="4:24">
      <c r="D127" s="134" t="s">
        <v>371</v>
      </c>
      <c r="M127" s="52"/>
      <c r="O127"/>
      <c r="W127" s="52"/>
      <c r="X127"/>
    </row>
    <row r="128" spans="4:24">
      <c r="D128" s="133" t="s">
        <v>372</v>
      </c>
      <c r="M128" s="52"/>
      <c r="O128"/>
      <c r="W128" s="52"/>
      <c r="X128"/>
    </row>
    <row r="129" spans="4:24">
      <c r="D129" s="134" t="s">
        <v>373</v>
      </c>
      <c r="M129" s="52"/>
      <c r="O129"/>
      <c r="W129" s="52"/>
      <c r="X129"/>
    </row>
    <row r="130" spans="4:24">
      <c r="D130" s="134" t="s">
        <v>374</v>
      </c>
      <c r="M130" s="52"/>
      <c r="O130"/>
      <c r="W130" s="52"/>
      <c r="X130"/>
    </row>
    <row r="131" spans="4:24">
      <c r="D131" s="133" t="s">
        <v>376</v>
      </c>
      <c r="M131" s="52"/>
      <c r="O131"/>
      <c r="W131" s="52"/>
      <c r="X131"/>
    </row>
    <row r="132" spans="4:24">
      <c r="D132" s="133" t="s">
        <v>377</v>
      </c>
      <c r="M132" s="52"/>
      <c r="O132"/>
      <c r="W132" s="52"/>
      <c r="X132"/>
    </row>
    <row r="133" spans="4:24">
      <c r="D133" s="133" t="s">
        <v>378</v>
      </c>
      <c r="M133" s="52"/>
      <c r="O133"/>
      <c r="W133" s="52"/>
      <c r="X133"/>
    </row>
    <row r="134" spans="4:24">
      <c r="D134" s="134" t="s">
        <v>379</v>
      </c>
      <c r="M134" s="52"/>
      <c r="O134"/>
      <c r="W134" s="52"/>
      <c r="X134"/>
    </row>
    <row r="135" spans="4:24">
      <c r="D135" s="133" t="s">
        <v>381</v>
      </c>
      <c r="M135" s="52"/>
      <c r="O135"/>
      <c r="W135" s="52"/>
      <c r="X135"/>
    </row>
    <row r="136" spans="4:24">
      <c r="D136" s="133" t="s">
        <v>382</v>
      </c>
      <c r="M136" s="52"/>
      <c r="O136"/>
      <c r="W136" s="52"/>
      <c r="X136"/>
    </row>
    <row r="137" spans="4:24">
      <c r="D137" s="134" t="s">
        <v>383</v>
      </c>
      <c r="M137" s="52"/>
      <c r="O137"/>
      <c r="W137" s="52"/>
      <c r="X137"/>
    </row>
    <row r="138" spans="4:24">
      <c r="D138" s="157" t="s">
        <v>606</v>
      </c>
      <c r="M138" s="52"/>
      <c r="O138"/>
      <c r="W138" s="52"/>
      <c r="X138"/>
    </row>
    <row r="139" spans="4:24">
      <c r="D139" s="133" t="s">
        <v>385</v>
      </c>
      <c r="M139" s="52"/>
      <c r="O139"/>
      <c r="W139" s="52"/>
      <c r="X139"/>
    </row>
    <row r="140" spans="4:24">
      <c r="D140" s="133" t="s">
        <v>387</v>
      </c>
      <c r="M140" s="52"/>
      <c r="O140"/>
      <c r="W140" s="52"/>
      <c r="X140"/>
    </row>
    <row r="141" spans="4:24">
      <c r="D141" s="133" t="s">
        <v>388</v>
      </c>
      <c r="M141" s="52"/>
      <c r="O141"/>
      <c r="W141" s="52"/>
      <c r="X141"/>
    </row>
    <row r="142" spans="4:24">
      <c r="D142" s="133" t="s">
        <v>389</v>
      </c>
      <c r="M142" s="52"/>
      <c r="O142"/>
      <c r="W142" s="52"/>
      <c r="X142"/>
    </row>
    <row r="143" spans="4:24">
      <c r="D143" s="133" t="s">
        <v>391</v>
      </c>
      <c r="M143" s="52"/>
      <c r="O143"/>
      <c r="W143" s="52"/>
      <c r="X143"/>
    </row>
    <row r="144" spans="4:24">
      <c r="D144" s="133" t="s">
        <v>393</v>
      </c>
      <c r="M144" s="52"/>
      <c r="O144"/>
      <c r="W144" s="52"/>
      <c r="X144"/>
    </row>
    <row r="145" spans="4:24">
      <c r="D145" s="133" t="s">
        <v>394</v>
      </c>
      <c r="M145" s="52"/>
      <c r="O145"/>
      <c r="W145" s="52"/>
      <c r="X145"/>
    </row>
    <row r="146" spans="4:24">
      <c r="D146" s="133" t="s">
        <v>396</v>
      </c>
      <c r="M146" s="52"/>
      <c r="O146"/>
      <c r="W146" s="52"/>
      <c r="X146"/>
    </row>
    <row r="147" spans="4:24">
      <c r="D147" s="133" t="s">
        <v>397</v>
      </c>
      <c r="M147" s="52"/>
      <c r="O147"/>
      <c r="W147" s="52"/>
      <c r="X147"/>
    </row>
    <row r="148" spans="4:24">
      <c r="D148" s="133" t="s">
        <v>399</v>
      </c>
      <c r="M148" s="52"/>
      <c r="O148"/>
      <c r="W148" s="52"/>
      <c r="X148"/>
    </row>
    <row r="149" spans="4:24">
      <c r="D149" s="157" t="s">
        <v>609</v>
      </c>
      <c r="M149" s="52"/>
      <c r="O149"/>
      <c r="W149" s="52"/>
      <c r="X149"/>
    </row>
    <row r="150" spans="4:24">
      <c r="D150" s="133" t="s">
        <v>401</v>
      </c>
      <c r="M150" s="52"/>
      <c r="O150"/>
      <c r="W150" s="52"/>
      <c r="X150"/>
    </row>
    <row r="151" spans="4:24">
      <c r="D151" s="133" t="s">
        <v>402</v>
      </c>
      <c r="M151" s="52"/>
      <c r="O151"/>
      <c r="W151" s="52"/>
      <c r="X151"/>
    </row>
    <row r="152" spans="4:24">
      <c r="D152" s="133" t="s">
        <v>403</v>
      </c>
      <c r="M152" s="52"/>
      <c r="O152"/>
      <c r="W152" s="52"/>
      <c r="X152"/>
    </row>
    <row r="153" spans="4:24">
      <c r="D153" s="133" t="s">
        <v>404</v>
      </c>
      <c r="M153" s="52"/>
      <c r="O153"/>
      <c r="W153" s="52"/>
      <c r="X153"/>
    </row>
    <row r="154" spans="4:24">
      <c r="D154" s="133" t="s">
        <v>405</v>
      </c>
      <c r="M154" s="52"/>
      <c r="O154"/>
      <c r="W154" s="52"/>
      <c r="X154"/>
    </row>
    <row r="155" spans="4:24">
      <c r="D155" s="135" t="s">
        <v>407</v>
      </c>
      <c r="M155" s="52"/>
      <c r="O155"/>
      <c r="W155" s="52"/>
      <c r="X155"/>
    </row>
    <row r="156" spans="4:24">
      <c r="D156" s="135" t="s">
        <v>408</v>
      </c>
      <c r="M156" s="52"/>
      <c r="O156"/>
      <c r="W156" s="52"/>
      <c r="X156"/>
    </row>
    <row r="157" spans="4:24">
      <c r="D157" s="157" t="s">
        <v>618</v>
      </c>
      <c r="M157" s="52"/>
      <c r="O157"/>
      <c r="W157" s="52"/>
      <c r="X157"/>
    </row>
    <row r="158" spans="4:24">
      <c r="D158" s="135" t="s">
        <v>406</v>
      </c>
      <c r="M158" s="52"/>
      <c r="O158"/>
      <c r="W158" s="52"/>
      <c r="X158"/>
    </row>
    <row r="159" spans="4:24">
      <c r="D159" s="135" t="s">
        <v>410</v>
      </c>
      <c r="M159" s="52"/>
      <c r="O159"/>
      <c r="W159" s="52"/>
      <c r="X159"/>
    </row>
    <row r="160" spans="4:24">
      <c r="D160" s="135" t="s">
        <v>411</v>
      </c>
      <c r="M160" s="52"/>
      <c r="O160"/>
      <c r="W160" s="52"/>
      <c r="X160"/>
    </row>
    <row r="161" spans="4:24">
      <c r="D161" s="135" t="s">
        <v>412</v>
      </c>
      <c r="M161" s="52"/>
      <c r="O161"/>
      <c r="W161" s="52"/>
      <c r="X161"/>
    </row>
    <row r="162" spans="4:24">
      <c r="D162" s="135" t="s">
        <v>413</v>
      </c>
      <c r="M162" s="52"/>
      <c r="O162"/>
      <c r="W162" s="52"/>
      <c r="X162"/>
    </row>
    <row r="163" spans="4:24">
      <c r="D163" s="135" t="s">
        <v>414</v>
      </c>
      <c r="M163" s="52"/>
      <c r="O163"/>
      <c r="W163" s="52"/>
      <c r="X163"/>
    </row>
    <row r="164" spans="4:24">
      <c r="D164" s="135" t="s">
        <v>415</v>
      </c>
      <c r="M164" s="52"/>
      <c r="O164"/>
      <c r="W164" s="52"/>
      <c r="X164"/>
    </row>
    <row r="165" spans="4:24">
      <c r="D165" s="135" t="s">
        <v>416</v>
      </c>
      <c r="M165" s="52"/>
      <c r="O165"/>
      <c r="W165" s="52"/>
      <c r="X165"/>
    </row>
    <row r="166" spans="4:24">
      <c r="D166" s="135" t="s">
        <v>417</v>
      </c>
      <c r="M166" s="52"/>
      <c r="O166"/>
      <c r="W166" s="52"/>
      <c r="X166"/>
    </row>
    <row r="167" spans="4:24">
      <c r="D167" s="135" t="s">
        <v>418</v>
      </c>
      <c r="M167" s="52"/>
      <c r="O167"/>
      <c r="W167" s="52"/>
      <c r="X167"/>
    </row>
    <row r="168" spans="4:24">
      <c r="D168" s="135" t="s">
        <v>420</v>
      </c>
      <c r="M168" s="52"/>
      <c r="O168"/>
      <c r="W168" s="52"/>
      <c r="X168"/>
    </row>
    <row r="169" spans="4:24">
      <c r="D169" s="135" t="s">
        <v>419</v>
      </c>
      <c r="M169" s="52"/>
      <c r="O169"/>
      <c r="W169" s="52"/>
      <c r="X169"/>
    </row>
    <row r="170" spans="4:24">
      <c r="D170" s="135" t="s">
        <v>421</v>
      </c>
      <c r="M170" s="52"/>
      <c r="O170"/>
      <c r="W170" s="52"/>
      <c r="X170"/>
    </row>
    <row r="171" spans="4:24">
      <c r="D171" s="135" t="s">
        <v>422</v>
      </c>
      <c r="M171" s="52"/>
      <c r="O171"/>
      <c r="W171" s="52"/>
      <c r="X171"/>
    </row>
    <row r="172" spans="4:24">
      <c r="D172" s="135" t="s">
        <v>423</v>
      </c>
      <c r="M172" s="52"/>
      <c r="O172"/>
      <c r="W172" s="52"/>
      <c r="X172"/>
    </row>
    <row r="173" spans="4:24">
      <c r="D173" s="135" t="s">
        <v>424</v>
      </c>
      <c r="M173" s="52"/>
      <c r="O173"/>
      <c r="W173" s="52"/>
      <c r="X173"/>
    </row>
    <row r="174" spans="4:24">
      <c r="D174" s="135" t="s">
        <v>425</v>
      </c>
      <c r="M174" s="52"/>
      <c r="O174"/>
      <c r="W174" s="52"/>
      <c r="X174"/>
    </row>
    <row r="175" spans="4:24">
      <c r="D175" s="135" t="s">
        <v>426</v>
      </c>
      <c r="M175" s="52"/>
      <c r="O175"/>
      <c r="W175" s="52"/>
      <c r="X175"/>
    </row>
    <row r="176" spans="4:24">
      <c r="D176" s="135" t="s">
        <v>427</v>
      </c>
      <c r="M176" s="52"/>
      <c r="O176"/>
      <c r="W176" s="52"/>
      <c r="X176"/>
    </row>
    <row r="177" spans="4:24">
      <c r="D177" s="135" t="s">
        <v>428</v>
      </c>
      <c r="M177" s="52"/>
      <c r="O177"/>
      <c r="W177" s="52"/>
      <c r="X177"/>
    </row>
    <row r="178" spans="4:24">
      <c r="D178" s="133" t="s">
        <v>939</v>
      </c>
      <c r="M178" s="52"/>
      <c r="O178"/>
      <c r="W178" s="52"/>
      <c r="X178"/>
    </row>
    <row r="179" spans="4:24">
      <c r="M179" s="52"/>
      <c r="O179"/>
      <c r="W179" s="52"/>
      <c r="X179"/>
    </row>
    <row r="180" spans="4:24">
      <c r="M180" s="52"/>
      <c r="O180"/>
      <c r="W180" s="52"/>
      <c r="X180"/>
    </row>
    <row r="181" spans="4:24">
      <c r="O181"/>
      <c r="W181" s="52"/>
      <c r="X181"/>
    </row>
  </sheetData>
  <mergeCells count="72">
    <mergeCell ref="R10:R11"/>
    <mergeCell ref="S10:S11"/>
    <mergeCell ref="T10:T11"/>
    <mergeCell ref="B2:W2"/>
    <mergeCell ref="C5:G5"/>
    <mergeCell ref="Q5:V5"/>
    <mergeCell ref="Q8:Q9"/>
    <mergeCell ref="R8:T9"/>
    <mergeCell ref="U8:V9"/>
    <mergeCell ref="C9:D9"/>
    <mergeCell ref="E9:G9"/>
    <mergeCell ref="V14:V15"/>
    <mergeCell ref="C14:D14"/>
    <mergeCell ref="E14:G14"/>
    <mergeCell ref="U10:U11"/>
    <mergeCell ref="V10:V11"/>
    <mergeCell ref="C11:D11"/>
    <mergeCell ref="E11:G11"/>
    <mergeCell ref="Q12:Q17"/>
    <mergeCell ref="R12:R13"/>
    <mergeCell ref="S12:S13"/>
    <mergeCell ref="T12:T13"/>
    <mergeCell ref="U12:U13"/>
    <mergeCell ref="V12:V13"/>
    <mergeCell ref="C10:D10"/>
    <mergeCell ref="E10:G10"/>
    <mergeCell ref="Q10:Q11"/>
    <mergeCell ref="U18:U19"/>
    <mergeCell ref="C15:D15"/>
    <mergeCell ref="E15:G15"/>
    <mergeCell ref="R16:R17"/>
    <mergeCell ref="S16:S17"/>
    <mergeCell ref="T16:T17"/>
    <mergeCell ref="U16:U17"/>
    <mergeCell ref="R14:R15"/>
    <mergeCell ref="S14:S15"/>
    <mergeCell ref="T14:T15"/>
    <mergeCell ref="U14:U15"/>
    <mergeCell ref="C16:D16"/>
    <mergeCell ref="E16:G16"/>
    <mergeCell ref="C17:D17"/>
    <mergeCell ref="E17:G17"/>
    <mergeCell ref="Q18:Q19"/>
    <mergeCell ref="S20:S21"/>
    <mergeCell ref="T20:T21"/>
    <mergeCell ref="E18:G18"/>
    <mergeCell ref="Q20:Q21"/>
    <mergeCell ref="R20:R21"/>
    <mergeCell ref="R18:R19"/>
    <mergeCell ref="S18:S19"/>
    <mergeCell ref="T18:T19"/>
    <mergeCell ref="U20:U21"/>
    <mergeCell ref="V20:V21"/>
    <mergeCell ref="V16:V17"/>
    <mergeCell ref="H19:L20"/>
    <mergeCell ref="C22:D24"/>
    <mergeCell ref="Q24:T25"/>
    <mergeCell ref="U24:U25"/>
    <mergeCell ref="V24:V25"/>
    <mergeCell ref="Q22:Q23"/>
    <mergeCell ref="R22:R23"/>
    <mergeCell ref="S22:S23"/>
    <mergeCell ref="T22:T23"/>
    <mergeCell ref="U22:U23"/>
    <mergeCell ref="V22:V23"/>
    <mergeCell ref="V18:V19"/>
    <mergeCell ref="C18:D18"/>
    <mergeCell ref="Q26:T27"/>
    <mergeCell ref="U26:U27"/>
    <mergeCell ref="V26:V27"/>
    <mergeCell ref="G22:J22"/>
    <mergeCell ref="G24:J24"/>
  </mergeCells>
  <phoneticPr fontId="18"/>
  <dataValidations count="8">
    <dataValidation type="list" imeMode="off" operator="greaterThanOrEqual" allowBlank="1" showInputMessage="1" showErrorMessage="1" prompt="最も近いものを選択してください。生け垣や芝生の場合は「建物用地」を選択してください。" sqref="E15:G15">
      <formula1>$G$33:$G$42</formula1>
    </dataValidation>
    <dataValidation type="whole" imeMode="off" operator="greaterThanOrEqual" allowBlank="1" showInputMessage="1" showErrorMessage="1" prompt="１以上の整数で入力して下さい" sqref="E16:G16">
      <formula1>0</formula1>
    </dataValidation>
    <dataValidation type="list" allowBlank="1" showInputMessage="1" showErrorMessage="1" prompt="下記の「生育状況の判断基準」にしたがって、あてはまるものを選択して下さい" sqref="E18:G18">
      <formula1>$F$33:$F$35</formula1>
    </dataValidation>
    <dataValidation type="list" allowBlank="1" showInputMessage="1" showErrorMessage="1" sqref="G26:L26">
      <formula1>$F$33:$F$35</formula1>
    </dataValidation>
    <dataValidation type="list" allowBlank="1" showInputMessage="1" showErrorMessage="1" sqref="E17">
      <formula1>$E$33:$E$35</formula1>
    </dataValidation>
    <dataValidation type="list" allowBlank="1" showInputMessage="1" showErrorMessage="1" prompt="距離または気候が最も近い地域を選択して下さい" sqref="E11:G11">
      <formula1>INDIRECT($E$10)</formula1>
    </dataValidation>
    <dataValidation type="list" allowBlank="1" showErrorMessage="1" prompt="_x000d_" sqref="E10:G10">
      <formula1>都道府県名</formula1>
    </dataValidation>
    <dataValidation type="whole" imeMode="off" operator="greaterThanOrEqual" allowBlank="1" showInputMessage="1" showErrorMessage="1" sqref="E14">
      <formula1>0</formula1>
    </dataValidation>
  </dataValidations>
  <pageMargins left="0" right="0" top="0" bottom="0" header="0" footer="0"/>
  <pageSetup paperSize="9" scale="64" fitToHeight="0" orientation="landscape" r:id="rId1"/>
  <colBreaks count="1" manualBreakCount="1">
    <brk id="24"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C25"/>
  <sheetViews>
    <sheetView topLeftCell="A11" workbookViewId="0">
      <selection activeCell="R20" sqref="R20"/>
    </sheetView>
  </sheetViews>
  <sheetFormatPr defaultColWidth="9" defaultRowHeight="13.2"/>
  <cols>
    <col min="1" max="1" width="5.69921875" style="333" customWidth="1"/>
    <col min="2" max="2" width="33.5" style="410" customWidth="1"/>
    <col min="3" max="3" width="113.09765625" style="321" customWidth="1"/>
    <col min="4" max="16384" width="9" style="333"/>
  </cols>
  <sheetData>
    <row r="1" spans="1:3" ht="16.2">
      <c r="A1" s="408" t="s">
        <v>1108</v>
      </c>
      <c r="B1" s="409"/>
      <c r="C1" s="406"/>
    </row>
    <row r="2" spans="1:3" ht="9" customHeight="1" thickBot="1">
      <c r="A2" s="408"/>
      <c r="B2" s="409"/>
      <c r="C2" s="406"/>
    </row>
    <row r="3" spans="1:3" ht="14.25" customHeight="1">
      <c r="A3" s="727" t="s">
        <v>1224</v>
      </c>
      <c r="B3" s="728"/>
      <c r="C3" s="425" t="s">
        <v>1225</v>
      </c>
    </row>
    <row r="4" spans="1:3" ht="26.4">
      <c r="A4" s="729" t="s">
        <v>1226</v>
      </c>
      <c r="B4" s="730"/>
      <c r="C4" s="426" t="s">
        <v>1227</v>
      </c>
    </row>
    <row r="5" spans="1:3">
      <c r="A5" s="731"/>
      <c r="B5" s="732"/>
      <c r="C5" s="426" t="s">
        <v>1228</v>
      </c>
    </row>
    <row r="6" spans="1:3" ht="39.6">
      <c r="A6" s="733"/>
      <c r="B6" s="734"/>
      <c r="C6" s="426" t="s">
        <v>1229</v>
      </c>
    </row>
    <row r="7" spans="1:3" ht="26.4">
      <c r="A7" s="735" t="s">
        <v>1230</v>
      </c>
      <c r="B7" s="736"/>
      <c r="C7" s="427" t="s">
        <v>1231</v>
      </c>
    </row>
    <row r="8" spans="1:3" ht="40.200000000000003">
      <c r="A8" s="737"/>
      <c r="B8" s="738"/>
      <c r="C8" s="427" t="s">
        <v>1254</v>
      </c>
    </row>
    <row r="9" spans="1:3">
      <c r="A9" s="737"/>
      <c r="B9" s="738"/>
      <c r="C9" s="427" t="s">
        <v>1232</v>
      </c>
    </row>
    <row r="10" spans="1:3" ht="105.6">
      <c r="A10" s="737"/>
      <c r="B10" s="738"/>
      <c r="C10" s="427" t="s">
        <v>1233</v>
      </c>
    </row>
    <row r="11" spans="1:3">
      <c r="A11" s="737"/>
      <c r="B11" s="738"/>
      <c r="C11" s="427" t="s">
        <v>1234</v>
      </c>
    </row>
    <row r="12" spans="1:3">
      <c r="A12" s="739"/>
      <c r="B12" s="740"/>
      <c r="C12" s="427" t="s">
        <v>1235</v>
      </c>
    </row>
    <row r="13" spans="1:3" ht="29.4">
      <c r="A13" s="741" t="s">
        <v>1236</v>
      </c>
      <c r="B13" s="428" t="s">
        <v>1255</v>
      </c>
      <c r="C13" s="429" t="s">
        <v>1256</v>
      </c>
    </row>
    <row r="14" spans="1:3" ht="16.2">
      <c r="A14" s="742"/>
      <c r="B14" s="428" t="s">
        <v>1257</v>
      </c>
      <c r="C14" s="430" t="s">
        <v>1237</v>
      </c>
    </row>
    <row r="15" spans="1:3" ht="29.4">
      <c r="A15" s="742"/>
      <c r="B15" s="428" t="s">
        <v>1238</v>
      </c>
      <c r="C15" s="429" t="s">
        <v>1258</v>
      </c>
    </row>
    <row r="16" spans="1:3" ht="27.6">
      <c r="A16" s="742"/>
      <c r="B16" s="428" t="s">
        <v>1239</v>
      </c>
      <c r="C16" s="429" t="s">
        <v>1259</v>
      </c>
    </row>
    <row r="17" spans="1:3" ht="13.8">
      <c r="A17" s="742"/>
      <c r="B17" s="428" t="s">
        <v>1240</v>
      </c>
      <c r="C17" s="429" t="s">
        <v>1260</v>
      </c>
    </row>
    <row r="18" spans="1:3">
      <c r="A18" s="742"/>
      <c r="B18" s="428" t="s">
        <v>1241</v>
      </c>
      <c r="C18" s="429" t="s">
        <v>1242</v>
      </c>
    </row>
    <row r="19" spans="1:3">
      <c r="A19" s="742"/>
      <c r="B19" s="428" t="s">
        <v>1243</v>
      </c>
      <c r="C19" s="429" t="s">
        <v>1244</v>
      </c>
    </row>
    <row r="20" spans="1:3">
      <c r="A20" s="742"/>
      <c r="B20" s="428" t="s">
        <v>1245</v>
      </c>
      <c r="C20" s="429" t="s">
        <v>1246</v>
      </c>
    </row>
    <row r="21" spans="1:3">
      <c r="A21" s="743"/>
      <c r="B21" s="428" t="s">
        <v>1247</v>
      </c>
      <c r="C21" s="429" t="s">
        <v>1248</v>
      </c>
    </row>
    <row r="22" spans="1:3" ht="26.4">
      <c r="A22" s="744" t="s">
        <v>1249</v>
      </c>
      <c r="B22" s="745"/>
      <c r="C22" s="431" t="s">
        <v>1250</v>
      </c>
    </row>
    <row r="23" spans="1:3">
      <c r="A23" s="746" t="s">
        <v>1251</v>
      </c>
      <c r="B23" s="747"/>
      <c r="C23" s="432" t="s">
        <v>1252</v>
      </c>
    </row>
    <row r="24" spans="1:3" ht="13.8" thickBot="1">
      <c r="A24" s="748"/>
      <c r="B24" s="749"/>
      <c r="C24" s="433" t="s">
        <v>1253</v>
      </c>
    </row>
    <row r="25" spans="1:3">
      <c r="A25" s="558"/>
      <c r="B25" s="558"/>
    </row>
  </sheetData>
  <mergeCells count="7">
    <mergeCell ref="A25:B25"/>
    <mergeCell ref="A3:B3"/>
    <mergeCell ref="A4:B6"/>
    <mergeCell ref="A7:B12"/>
    <mergeCell ref="A13:A21"/>
    <mergeCell ref="A22:B22"/>
    <mergeCell ref="A23:B24"/>
  </mergeCells>
  <phoneticPr fontId="18"/>
  <pageMargins left="0.7" right="0.7" top="0.75" bottom="0.75" header="0.3" footer="0.3"/>
  <pageSetup paperSize="9" scale="89"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U164"/>
  <sheetViews>
    <sheetView topLeftCell="A25" workbookViewId="0">
      <selection activeCell="R20" sqref="R20"/>
    </sheetView>
  </sheetViews>
  <sheetFormatPr defaultColWidth="8.8984375" defaultRowHeight="13.2"/>
  <cols>
    <col min="1" max="2" width="8.8984375" style="156"/>
    <col min="3" max="3" width="14.09765625" style="156" customWidth="1"/>
    <col min="4" max="4" width="10.09765625" style="156" customWidth="1"/>
    <col min="5" max="5" width="4" style="156" customWidth="1"/>
    <col min="6" max="6" width="38.09765625" style="156" customWidth="1"/>
    <col min="7" max="7" width="19.5" style="156" customWidth="1"/>
    <col min="8" max="8" width="16.5" style="156" bestFit="1" customWidth="1"/>
    <col min="9" max="9" width="3.5" style="156" bestFit="1" customWidth="1"/>
    <col min="10" max="10" width="8.8984375" style="156" customWidth="1"/>
    <col min="11" max="11" width="19" style="156" bestFit="1" customWidth="1"/>
    <col min="12" max="12" width="14.5" style="156" customWidth="1"/>
    <col min="13" max="13" width="8.3984375" style="156" customWidth="1"/>
    <col min="14" max="14" width="23.5" style="156" bestFit="1" customWidth="1"/>
    <col min="15" max="15" width="14.5" style="156" customWidth="1"/>
    <col min="16" max="16" width="26.8984375" style="156" customWidth="1"/>
    <col min="17" max="17" width="8.8984375" style="156"/>
    <col min="18" max="18" width="27.59765625" style="156" customWidth="1"/>
    <col min="19" max="20" width="8.8984375" style="156"/>
    <col min="21" max="21" width="10.09765625" style="156" customWidth="1"/>
    <col min="22" max="16384" width="8.8984375" style="156"/>
  </cols>
  <sheetData>
    <row r="1" spans="1:21" ht="23.4">
      <c r="A1" s="750" t="s">
        <v>524</v>
      </c>
      <c r="B1" s="750"/>
      <c r="C1" s="750"/>
      <c r="D1" s="750"/>
      <c r="E1" s="750"/>
      <c r="F1" s="750"/>
      <c r="G1" s="750"/>
      <c r="H1" s="750"/>
      <c r="I1" s="750"/>
      <c r="K1" s="632" t="s">
        <v>646</v>
      </c>
      <c r="L1" s="632"/>
      <c r="N1" s="751" t="s">
        <v>697</v>
      </c>
      <c r="O1" s="751"/>
      <c r="P1" s="751"/>
      <c r="Q1" s="160"/>
    </row>
    <row r="2" spans="1:21" ht="26.4">
      <c r="A2" s="157" t="s">
        <v>194</v>
      </c>
      <c r="B2" s="157" t="s">
        <v>501</v>
      </c>
      <c r="C2" s="158" t="s">
        <v>642</v>
      </c>
      <c r="D2" s="158" t="s">
        <v>526</v>
      </c>
      <c r="F2" s="165" t="s">
        <v>528</v>
      </c>
      <c r="G2" s="166">
        <v>6.8021111111111121E-4</v>
      </c>
      <c r="H2" s="166" t="s">
        <v>529</v>
      </c>
      <c r="I2" s="166"/>
      <c r="K2" s="169" t="s">
        <v>645</v>
      </c>
      <c r="L2" s="169">
        <f>ツール!E10</f>
        <v>0</v>
      </c>
      <c r="N2" s="162" t="s">
        <v>643</v>
      </c>
      <c r="O2" s="162" t="e">
        <f>INDEX(C:C,MATCH(L3,B:B,0),1)</f>
        <v>#N/A</v>
      </c>
      <c r="P2" s="162" t="s">
        <v>644</v>
      </c>
      <c r="Q2" s="160"/>
    </row>
    <row r="3" spans="1:21" ht="26.4">
      <c r="A3" s="157" t="s">
        <v>254</v>
      </c>
      <c r="B3" s="157" t="s">
        <v>259</v>
      </c>
      <c r="C3" s="157">
        <v>3.3825437282711897</v>
      </c>
      <c r="D3" s="157">
        <v>30</v>
      </c>
      <c r="F3" s="165" t="s">
        <v>532</v>
      </c>
      <c r="G3" s="166">
        <v>3.46</v>
      </c>
      <c r="H3" s="166" t="s">
        <v>533</v>
      </c>
      <c r="I3" s="166" t="s">
        <v>201</v>
      </c>
      <c r="K3" s="169" t="s">
        <v>501</v>
      </c>
      <c r="L3" s="169">
        <f>ツール!E11</f>
        <v>0</v>
      </c>
      <c r="N3" s="163" t="s">
        <v>527</v>
      </c>
      <c r="O3" s="162" t="e">
        <f>L4*O2*1/8*G2*1000</f>
        <v>#N/A</v>
      </c>
      <c r="P3" s="162" t="s">
        <v>641</v>
      </c>
      <c r="Q3" s="159" t="s">
        <v>198</v>
      </c>
      <c r="R3" s="168" t="s">
        <v>647</v>
      </c>
      <c r="S3" s="133"/>
    </row>
    <row r="4" spans="1:21" ht="26.4">
      <c r="A4" s="157" t="s">
        <v>254</v>
      </c>
      <c r="B4" s="157" t="s">
        <v>262</v>
      </c>
      <c r="C4" s="157">
        <v>2.9809470945510075</v>
      </c>
      <c r="D4" s="157">
        <v>30</v>
      </c>
      <c r="F4" s="167" t="s">
        <v>534</v>
      </c>
      <c r="G4" s="166">
        <v>8</v>
      </c>
      <c r="H4" s="166"/>
      <c r="I4" s="166" t="s">
        <v>203</v>
      </c>
      <c r="K4" s="169" t="s">
        <v>648</v>
      </c>
      <c r="L4" s="170">
        <f>ツール!E15</f>
        <v>0</v>
      </c>
      <c r="N4" s="162" t="s">
        <v>535</v>
      </c>
      <c r="O4" s="162" t="e">
        <f>INDEX(D:D,MATCH(L3,B:B,0),1)</f>
        <v>#N/A</v>
      </c>
      <c r="P4" s="163" t="s">
        <v>640</v>
      </c>
      <c r="Q4" s="156" t="s">
        <v>530</v>
      </c>
      <c r="T4" s="157"/>
    </row>
    <row r="5" spans="1:21">
      <c r="A5" s="157" t="s">
        <v>254</v>
      </c>
      <c r="B5" s="157" t="s">
        <v>531</v>
      </c>
      <c r="C5" s="157">
        <v>3.4402299859461745</v>
      </c>
      <c r="D5" s="157">
        <v>30</v>
      </c>
      <c r="N5" s="162" t="s">
        <v>750</v>
      </c>
      <c r="O5" s="198" t="e">
        <f>O4*G4*O3</f>
        <v>#N/A</v>
      </c>
      <c r="P5" s="163" t="s">
        <v>749</v>
      </c>
      <c r="T5" s="197"/>
    </row>
    <row r="6" spans="1:21" ht="14.4">
      <c r="A6" s="157" t="s">
        <v>254</v>
      </c>
      <c r="B6" s="157" t="s">
        <v>253</v>
      </c>
      <c r="C6" s="157">
        <v>2.3351388443920205</v>
      </c>
      <c r="D6" s="157">
        <v>30</v>
      </c>
      <c r="F6" s="156" t="s">
        <v>713</v>
      </c>
      <c r="N6" s="163" t="s">
        <v>748</v>
      </c>
      <c r="O6" s="164" t="e">
        <f>O3*G3*G4*O4</f>
        <v>#N/A</v>
      </c>
      <c r="P6" s="161" t="s">
        <v>639</v>
      </c>
      <c r="U6" s="133"/>
    </row>
    <row r="7" spans="1:21" ht="14.4">
      <c r="A7" s="157" t="s">
        <v>254</v>
      </c>
      <c r="B7" s="157" t="s">
        <v>273</v>
      </c>
      <c r="C7" s="157">
        <v>3.0214886912251648</v>
      </c>
      <c r="D7" s="157">
        <v>30</v>
      </c>
      <c r="F7" s="141" t="s">
        <v>194</v>
      </c>
      <c r="G7" s="141" t="s">
        <v>698</v>
      </c>
      <c r="U7" s="133"/>
    </row>
    <row r="8" spans="1:21" ht="18" customHeight="1">
      <c r="A8" s="157" t="s">
        <v>254</v>
      </c>
      <c r="B8" s="157" t="s">
        <v>260</v>
      </c>
      <c r="C8" s="157">
        <v>3.0835757974520637</v>
      </c>
      <c r="D8" s="157">
        <v>30</v>
      </c>
      <c r="F8" s="117" t="s">
        <v>542</v>
      </c>
      <c r="G8" s="117">
        <v>222.26999999999998</v>
      </c>
      <c r="N8" s="752" t="s">
        <v>697</v>
      </c>
      <c r="O8" s="753"/>
      <c r="P8" s="754"/>
      <c r="U8" s="133"/>
    </row>
    <row r="9" spans="1:21" ht="18" customHeight="1">
      <c r="A9" s="157" t="s">
        <v>254</v>
      </c>
      <c r="B9" s="157" t="s">
        <v>264</v>
      </c>
      <c r="C9" s="157">
        <v>3.5786541373997158</v>
      </c>
      <c r="D9" s="157">
        <v>30</v>
      </c>
      <c r="F9" t="s">
        <v>548</v>
      </c>
      <c r="G9" s="117">
        <v>214.14000000000001</v>
      </c>
      <c r="N9" s="177"/>
      <c r="O9" s="173" t="e">
        <f>O2*L4*1000000</f>
        <v>#N/A</v>
      </c>
      <c r="P9" s="156" t="s">
        <v>653</v>
      </c>
      <c r="U9" s="133"/>
    </row>
    <row r="10" spans="1:21" ht="18" customHeight="1">
      <c r="A10" s="157" t="s">
        <v>254</v>
      </c>
      <c r="B10" s="157" t="s">
        <v>536</v>
      </c>
      <c r="C10" s="157">
        <v>2.5585473704592774</v>
      </c>
      <c r="D10" s="157">
        <v>30</v>
      </c>
      <c r="F10" t="s">
        <v>699</v>
      </c>
      <c r="G10" s="117">
        <v>212.45999999999998</v>
      </c>
      <c r="N10" s="177"/>
      <c r="O10" s="173" t="e">
        <f>O2*L4*1000000/1000</f>
        <v>#N/A</v>
      </c>
      <c r="P10" s="156" t="s">
        <v>676</v>
      </c>
      <c r="U10" s="133"/>
    </row>
    <row r="11" spans="1:21" ht="18" customHeight="1">
      <c r="A11" s="157" t="s">
        <v>254</v>
      </c>
      <c r="B11" s="157" t="s">
        <v>537</v>
      </c>
      <c r="C11" s="157">
        <v>2.1262355135342945</v>
      </c>
      <c r="D11" s="157">
        <v>30</v>
      </c>
      <c r="F11" t="s">
        <v>90</v>
      </c>
      <c r="G11" s="117">
        <v>209.05</v>
      </c>
      <c r="N11" s="177"/>
      <c r="O11" s="156" t="e">
        <f>O9/1000000000</f>
        <v>#N/A</v>
      </c>
      <c r="P11" s="156" t="s">
        <v>654</v>
      </c>
      <c r="U11" s="133"/>
    </row>
    <row r="12" spans="1:21" ht="18" customHeight="1">
      <c r="A12" s="157" t="s">
        <v>254</v>
      </c>
      <c r="B12" s="157" t="s">
        <v>538</v>
      </c>
      <c r="C12" s="157">
        <v>2.4345743774663786</v>
      </c>
      <c r="D12" s="157">
        <v>30</v>
      </c>
      <c r="F12" t="s">
        <v>613</v>
      </c>
      <c r="G12" s="117">
        <v>208</v>
      </c>
      <c r="N12" s="177"/>
      <c r="O12" s="156">
        <v>189</v>
      </c>
      <c r="P12" s="156" t="s">
        <v>655</v>
      </c>
      <c r="Q12" s="156" t="s">
        <v>681</v>
      </c>
      <c r="U12" s="133"/>
    </row>
    <row r="13" spans="1:21" ht="18" customHeight="1">
      <c r="A13" s="157" t="s">
        <v>254</v>
      </c>
      <c r="B13" s="157" t="s">
        <v>258</v>
      </c>
      <c r="C13" s="157">
        <v>2.2970650795758805</v>
      </c>
      <c r="D13" s="157">
        <v>30</v>
      </c>
      <c r="F13" t="s">
        <v>297</v>
      </c>
      <c r="G13" s="117">
        <v>193.73499999999999</v>
      </c>
      <c r="N13" s="177"/>
      <c r="O13" s="173" t="e">
        <f>O11*O12</f>
        <v>#N/A</v>
      </c>
      <c r="P13" s="156" t="s">
        <v>656</v>
      </c>
      <c r="U13" s="133"/>
    </row>
    <row r="14" spans="1:21" ht="18" customHeight="1">
      <c r="A14" s="157" t="s">
        <v>254</v>
      </c>
      <c r="B14" s="157" t="s">
        <v>261</v>
      </c>
      <c r="C14" s="157">
        <v>2.3104526604704243</v>
      </c>
      <c r="D14" s="157">
        <v>30</v>
      </c>
      <c r="F14" t="s">
        <v>700</v>
      </c>
      <c r="G14" s="117">
        <v>185.375</v>
      </c>
      <c r="N14" s="177"/>
      <c r="O14" s="177"/>
      <c r="P14" s="177"/>
      <c r="U14" s="133"/>
    </row>
    <row r="15" spans="1:21" ht="18" customHeight="1">
      <c r="A15" s="157" t="s">
        <v>254</v>
      </c>
      <c r="B15" s="157" t="s">
        <v>263</v>
      </c>
      <c r="C15" s="157">
        <v>2.6892800905469785</v>
      </c>
      <c r="D15" s="157">
        <v>30</v>
      </c>
      <c r="F15" t="s">
        <v>550</v>
      </c>
      <c r="G15" s="117">
        <v>183.965</v>
      </c>
      <c r="N15" s="177"/>
      <c r="O15" s="177"/>
      <c r="P15" s="177"/>
      <c r="U15" s="133"/>
    </row>
    <row r="16" spans="1:21" ht="18" customHeight="1">
      <c r="A16" s="157" t="s">
        <v>254</v>
      </c>
      <c r="B16" s="157" t="s">
        <v>265</v>
      </c>
      <c r="C16" s="157">
        <v>1.9766935135576356</v>
      </c>
      <c r="D16" s="157">
        <v>30</v>
      </c>
      <c r="F16" t="s">
        <v>611</v>
      </c>
      <c r="G16" s="117">
        <v>182.685</v>
      </c>
      <c r="N16" s="177"/>
      <c r="O16" s="177"/>
      <c r="P16" s="177"/>
      <c r="U16" s="133"/>
    </row>
    <row r="17" spans="1:21" ht="18" customHeight="1">
      <c r="A17" s="157" t="s">
        <v>254</v>
      </c>
      <c r="B17" s="157" t="s">
        <v>266</v>
      </c>
      <c r="C17" s="157">
        <v>1.9132321882812153</v>
      </c>
      <c r="D17" s="157">
        <v>30</v>
      </c>
      <c r="F17" t="s">
        <v>545</v>
      </c>
      <c r="G17" s="117">
        <v>181.62</v>
      </c>
      <c r="N17" s="177"/>
      <c r="O17" s="177"/>
      <c r="P17" s="177"/>
      <c r="U17" s="133"/>
    </row>
    <row r="18" spans="1:21" ht="18" customHeight="1">
      <c r="A18" s="157" t="s">
        <v>254</v>
      </c>
      <c r="B18" s="157" t="s">
        <v>267</v>
      </c>
      <c r="C18" s="157">
        <v>2.7570271468678125</v>
      </c>
      <c r="D18" s="157">
        <v>30</v>
      </c>
      <c r="F18" t="s">
        <v>369</v>
      </c>
      <c r="G18" s="117">
        <v>181.47</v>
      </c>
      <c r="N18" s="177"/>
      <c r="O18" s="177"/>
      <c r="P18" s="177"/>
      <c r="U18" s="133"/>
    </row>
    <row r="19" spans="1:21" ht="18" customHeight="1">
      <c r="A19" s="157" t="s">
        <v>254</v>
      </c>
      <c r="B19" s="157" t="s">
        <v>539</v>
      </c>
      <c r="C19" s="157">
        <v>2.2117569197212297</v>
      </c>
      <c r="D19" s="157">
        <v>30</v>
      </c>
      <c r="F19" t="s">
        <v>563</v>
      </c>
      <c r="G19" s="117">
        <v>181.14500000000001</v>
      </c>
      <c r="N19" s="177"/>
      <c r="O19" s="177"/>
      <c r="P19" s="177"/>
      <c r="U19" s="133"/>
    </row>
    <row r="20" spans="1:21" ht="18" customHeight="1">
      <c r="A20" s="157" t="s">
        <v>254</v>
      </c>
      <c r="B20" s="157" t="s">
        <v>540</v>
      </c>
      <c r="C20" s="157">
        <v>1.7234478486485736</v>
      </c>
      <c r="D20" s="157">
        <v>30</v>
      </c>
      <c r="F20" t="s">
        <v>614</v>
      </c>
      <c r="G20" s="117">
        <v>179.04000000000002</v>
      </c>
      <c r="N20" s="177"/>
      <c r="O20" s="177"/>
      <c r="P20" s="177"/>
      <c r="U20" s="133"/>
    </row>
    <row r="21" spans="1:21" ht="18" customHeight="1">
      <c r="A21" s="157" t="s">
        <v>254</v>
      </c>
      <c r="B21" s="157" t="s">
        <v>271</v>
      </c>
      <c r="C21" s="157">
        <v>2.1910500371262067</v>
      </c>
      <c r="D21" s="157">
        <v>30</v>
      </c>
      <c r="F21" t="s">
        <v>701</v>
      </c>
      <c r="G21" s="117">
        <v>178.27</v>
      </c>
      <c r="N21" s="177"/>
      <c r="O21" s="177"/>
      <c r="P21" s="177"/>
      <c r="U21" s="133"/>
    </row>
    <row r="22" spans="1:21" ht="23.4">
      <c r="A22" s="157" t="s">
        <v>254</v>
      </c>
      <c r="B22" s="157" t="s">
        <v>272</v>
      </c>
      <c r="C22" s="157">
        <v>2.5344384046592698</v>
      </c>
      <c r="D22" s="157">
        <v>30</v>
      </c>
      <c r="F22" t="s">
        <v>702</v>
      </c>
      <c r="G22" s="117">
        <v>170.45</v>
      </c>
      <c r="N22" s="177"/>
      <c r="O22" s="177"/>
      <c r="P22" s="177"/>
      <c r="U22" s="133"/>
    </row>
    <row r="23" spans="1:21" ht="14.4">
      <c r="A23" s="157" t="s">
        <v>254</v>
      </c>
      <c r="B23" s="157" t="s">
        <v>274</v>
      </c>
      <c r="C23" s="157">
        <v>2.5116328117241626</v>
      </c>
      <c r="D23" s="157">
        <v>30</v>
      </c>
      <c r="F23" t="s">
        <v>703</v>
      </c>
      <c r="G23" s="117">
        <v>167.2</v>
      </c>
      <c r="U23" s="133"/>
    </row>
    <row r="24" spans="1:21" ht="14.4">
      <c r="A24" s="157" t="s">
        <v>254</v>
      </c>
      <c r="B24" s="157" t="s">
        <v>541</v>
      </c>
      <c r="C24" s="157">
        <v>2.5299188315642005</v>
      </c>
      <c r="D24" s="157">
        <v>30</v>
      </c>
      <c r="F24" t="s">
        <v>381</v>
      </c>
      <c r="G24" s="117">
        <v>164.42000000000002</v>
      </c>
      <c r="U24" s="133"/>
    </row>
    <row r="25" spans="1:21" ht="14.4">
      <c r="A25" s="157" t="s">
        <v>254</v>
      </c>
      <c r="B25" s="157" t="s">
        <v>276</v>
      </c>
      <c r="C25" s="157">
        <v>2.1613813307736578</v>
      </c>
      <c r="D25" s="157">
        <v>30</v>
      </c>
      <c r="F25" t="s">
        <v>382</v>
      </c>
      <c r="G25" s="117">
        <v>162.83499999999998</v>
      </c>
      <c r="U25" s="133"/>
    </row>
    <row r="26" spans="1:21" ht="14.4">
      <c r="A26" s="157" t="s">
        <v>542</v>
      </c>
      <c r="B26" s="157" t="s">
        <v>542</v>
      </c>
      <c r="C26" s="157">
        <v>3.7022333547419222</v>
      </c>
      <c r="D26" s="157">
        <v>30</v>
      </c>
      <c r="F26" t="s">
        <v>100</v>
      </c>
      <c r="G26" s="117">
        <v>158.74</v>
      </c>
      <c r="U26" s="133"/>
    </row>
    <row r="27" spans="1:21" ht="14.4">
      <c r="A27" s="157" t="s">
        <v>543</v>
      </c>
      <c r="B27" s="157" t="s">
        <v>277</v>
      </c>
      <c r="C27" s="157">
        <v>2.7319593946241394</v>
      </c>
      <c r="D27" s="157">
        <v>30</v>
      </c>
      <c r="F27" t="s">
        <v>581</v>
      </c>
      <c r="G27" s="117">
        <v>158.27500000000001</v>
      </c>
      <c r="U27" s="133"/>
    </row>
    <row r="28" spans="1:21" ht="14.4">
      <c r="A28" s="157" t="s">
        <v>543</v>
      </c>
      <c r="B28" s="157" t="s">
        <v>544</v>
      </c>
      <c r="C28" s="157">
        <v>2.4877534264384109</v>
      </c>
      <c r="D28" s="157">
        <v>30</v>
      </c>
      <c r="F28" t="s">
        <v>300</v>
      </c>
      <c r="G28" s="117">
        <v>154.43</v>
      </c>
      <c r="R28" s="156" t="s">
        <v>688</v>
      </c>
      <c r="U28" s="133"/>
    </row>
    <row r="29" spans="1:21" ht="14.4">
      <c r="A29" s="157" t="s">
        <v>543</v>
      </c>
      <c r="B29" s="157" t="s">
        <v>280</v>
      </c>
      <c r="C29" s="157">
        <v>2.5581803493236506</v>
      </c>
      <c r="D29" s="157">
        <v>30</v>
      </c>
      <c r="F29" t="s">
        <v>704</v>
      </c>
      <c r="G29" s="117">
        <v>152.73499999999999</v>
      </c>
      <c r="R29" s="156" t="e">
        <f>O2/8/60</f>
        <v>#N/A</v>
      </c>
      <c r="S29" s="156" t="s">
        <v>686</v>
      </c>
      <c r="U29" s="133"/>
    </row>
    <row r="30" spans="1:21" ht="14.4">
      <c r="A30" s="157" t="s">
        <v>545</v>
      </c>
      <c r="B30" s="157" t="s">
        <v>545</v>
      </c>
      <c r="C30" s="157">
        <v>4.0231732648156324</v>
      </c>
      <c r="D30" s="157">
        <v>30</v>
      </c>
      <c r="F30" t="s">
        <v>570</v>
      </c>
      <c r="G30" s="117">
        <v>151.11500000000001</v>
      </c>
      <c r="N30" s="156">
        <v>16.05</v>
      </c>
      <c r="O30" s="156" t="s">
        <v>657</v>
      </c>
      <c r="P30" s="156" t="s">
        <v>658</v>
      </c>
      <c r="R30" s="156" t="e">
        <f>R29*1000000</f>
        <v>#N/A</v>
      </c>
      <c r="S30" s="156" t="s">
        <v>687</v>
      </c>
      <c r="U30" s="133"/>
    </row>
    <row r="31" spans="1:21" ht="14.4">
      <c r="A31" s="157" t="s">
        <v>282</v>
      </c>
      <c r="B31" s="157" t="s">
        <v>546</v>
      </c>
      <c r="C31" s="157">
        <v>3.9729663089183727</v>
      </c>
      <c r="D31" s="157">
        <v>30</v>
      </c>
      <c r="F31" t="s">
        <v>323</v>
      </c>
      <c r="G31" s="117">
        <v>148.32</v>
      </c>
      <c r="N31" s="156">
        <v>0.19</v>
      </c>
      <c r="O31" s="156" t="s">
        <v>659</v>
      </c>
      <c r="R31" s="156" t="e">
        <f>R30/1000</f>
        <v>#N/A</v>
      </c>
      <c r="S31" s="156" t="s">
        <v>689</v>
      </c>
      <c r="U31" s="133"/>
    </row>
    <row r="32" spans="1:21" ht="14.4">
      <c r="A32" s="157" t="s">
        <v>282</v>
      </c>
      <c r="B32" s="157" t="s">
        <v>547</v>
      </c>
      <c r="C32" s="157">
        <v>2.4966014932136118</v>
      </c>
      <c r="D32" s="157">
        <v>30</v>
      </c>
      <c r="F32" t="s">
        <v>631</v>
      </c>
      <c r="G32" s="117">
        <v>147.06</v>
      </c>
      <c r="N32" s="156">
        <f>N31/N30</f>
        <v>1.1838006230529595E-2</v>
      </c>
      <c r="O32" s="156" t="s">
        <v>662</v>
      </c>
      <c r="R32" s="156" t="s">
        <v>690</v>
      </c>
      <c r="U32" s="133"/>
    </row>
    <row r="33" spans="1:21" ht="14.4">
      <c r="A33" s="157" t="s">
        <v>548</v>
      </c>
      <c r="B33" s="157" t="s">
        <v>548</v>
      </c>
      <c r="C33" s="157">
        <v>4.3471171901106276</v>
      </c>
      <c r="D33" s="157">
        <v>30</v>
      </c>
      <c r="F33" t="s">
        <v>624</v>
      </c>
      <c r="G33" s="117">
        <v>146.14000000000001</v>
      </c>
      <c r="N33" s="156">
        <v>26.7</v>
      </c>
      <c r="O33" s="156" t="s">
        <v>660</v>
      </c>
      <c r="P33" s="156" t="s">
        <v>661</v>
      </c>
      <c r="U33" s="133"/>
    </row>
    <row r="34" spans="1:21" ht="14.4">
      <c r="A34" s="157" t="s">
        <v>290</v>
      </c>
      <c r="B34" s="157" t="s">
        <v>549</v>
      </c>
      <c r="C34" s="157">
        <v>3.3274506989144106</v>
      </c>
      <c r="D34" s="157">
        <v>30</v>
      </c>
      <c r="F34" t="s">
        <v>621</v>
      </c>
      <c r="G34" s="117">
        <v>145.82999999999998</v>
      </c>
      <c r="N34" s="156">
        <f>N33*N32</f>
        <v>0.3160747663551402</v>
      </c>
      <c r="O34" s="156" t="s">
        <v>663</v>
      </c>
      <c r="U34" s="133"/>
    </row>
    <row r="35" spans="1:21" ht="14.4">
      <c r="A35" s="157" t="s">
        <v>290</v>
      </c>
      <c r="B35" s="157" t="s">
        <v>289</v>
      </c>
      <c r="C35" s="157">
        <v>3.0322066615899588</v>
      </c>
      <c r="D35" s="157">
        <v>30</v>
      </c>
      <c r="F35" t="s">
        <v>359</v>
      </c>
      <c r="G35" s="117">
        <v>144.08499999999998</v>
      </c>
      <c r="N35" s="156">
        <v>332</v>
      </c>
      <c r="O35" s="156" t="s">
        <v>664</v>
      </c>
      <c r="P35" s="156" t="s">
        <v>665</v>
      </c>
      <c r="U35" s="133"/>
    </row>
    <row r="36" spans="1:21" ht="14.4">
      <c r="A36" s="157" t="s">
        <v>285</v>
      </c>
      <c r="B36" s="157" t="s">
        <v>284</v>
      </c>
      <c r="C36" s="157">
        <v>3.7219228710354844</v>
      </c>
      <c r="D36" s="157">
        <v>30</v>
      </c>
      <c r="F36" t="s">
        <v>705</v>
      </c>
      <c r="G36" s="117">
        <v>143.755</v>
      </c>
      <c r="U36" s="133"/>
    </row>
    <row r="37" spans="1:21" ht="14.4">
      <c r="A37" s="157" t="s">
        <v>285</v>
      </c>
      <c r="B37" s="157" t="s">
        <v>286</v>
      </c>
      <c r="C37" s="157">
        <v>2.8856590447552519</v>
      </c>
      <c r="D37" s="157">
        <v>30</v>
      </c>
      <c r="F37" t="s">
        <v>706</v>
      </c>
      <c r="G37" s="117">
        <v>140.685</v>
      </c>
      <c r="N37" s="156">
        <f>N31*N35*N33</f>
        <v>1684.2359999999999</v>
      </c>
      <c r="U37" s="133"/>
    </row>
    <row r="38" spans="1:21" ht="14.4">
      <c r="A38" s="157" t="s">
        <v>550</v>
      </c>
      <c r="B38" s="157" t="s">
        <v>550</v>
      </c>
      <c r="C38" s="157">
        <v>4.1727911059719149</v>
      </c>
      <c r="D38" s="157">
        <v>30</v>
      </c>
      <c r="F38" t="s">
        <v>598</v>
      </c>
      <c r="G38" s="117">
        <v>140.28</v>
      </c>
      <c r="U38" s="133"/>
    </row>
    <row r="39" spans="1:21" ht="14.4">
      <c r="A39" s="157" t="s">
        <v>551</v>
      </c>
      <c r="B39" s="157" t="s">
        <v>292</v>
      </c>
      <c r="C39" s="157">
        <v>3.3227841059759293</v>
      </c>
      <c r="D39" s="157">
        <v>30</v>
      </c>
      <c r="F39" t="s">
        <v>419</v>
      </c>
      <c r="G39" s="117">
        <v>140.03</v>
      </c>
      <c r="U39" s="133"/>
    </row>
    <row r="40" spans="1:21" ht="14.4">
      <c r="A40" s="157" t="s">
        <v>551</v>
      </c>
      <c r="B40" s="157" t="s">
        <v>294</v>
      </c>
      <c r="C40" s="157">
        <v>2.2857330518818157</v>
      </c>
      <c r="D40" s="157">
        <v>30</v>
      </c>
      <c r="F40" t="s">
        <v>370</v>
      </c>
      <c r="G40" s="117">
        <v>137.07499999999999</v>
      </c>
      <c r="N40" s="156">
        <v>0.15</v>
      </c>
      <c r="O40" s="156" t="s">
        <v>666</v>
      </c>
      <c r="P40" s="156" t="s">
        <v>667</v>
      </c>
      <c r="U40" s="133"/>
    </row>
    <row r="41" spans="1:21" ht="14.4">
      <c r="A41" s="157" t="s">
        <v>551</v>
      </c>
      <c r="B41" s="157" t="s">
        <v>295</v>
      </c>
      <c r="C41" s="157">
        <v>2.3409289749752036</v>
      </c>
      <c r="D41" s="157">
        <v>30</v>
      </c>
      <c r="F41" t="s">
        <v>707</v>
      </c>
      <c r="G41" s="117">
        <v>136.39500000000001</v>
      </c>
      <c r="N41" s="156">
        <f>N40*N35</f>
        <v>49.8</v>
      </c>
      <c r="O41" s="156" t="s">
        <v>669</v>
      </c>
      <c r="P41" s="156" t="s">
        <v>668</v>
      </c>
      <c r="U41" s="133"/>
    </row>
    <row r="42" spans="1:21" ht="14.4">
      <c r="A42" s="157" t="s">
        <v>552</v>
      </c>
      <c r="B42" s="157" t="s">
        <v>553</v>
      </c>
      <c r="C42" s="157">
        <v>3.1408332273426924</v>
      </c>
      <c r="D42" s="157">
        <v>60</v>
      </c>
      <c r="F42" t="s">
        <v>339</v>
      </c>
      <c r="G42" s="117">
        <v>134.785</v>
      </c>
      <c r="U42" s="133"/>
    </row>
    <row r="43" spans="1:21" ht="14.4">
      <c r="A43" s="157" t="s">
        <v>552</v>
      </c>
      <c r="B43" s="157" t="s">
        <v>554</v>
      </c>
      <c r="C43" s="157">
        <v>1.6826671809584886</v>
      </c>
      <c r="D43" s="157">
        <v>60</v>
      </c>
      <c r="F43" t="s">
        <v>708</v>
      </c>
      <c r="G43" s="117">
        <v>132.45999999999998</v>
      </c>
      <c r="N43" s="156">
        <f>N41*N30</f>
        <v>799.29</v>
      </c>
      <c r="O43" s="156" t="s">
        <v>670</v>
      </c>
      <c r="P43" s="156" t="s">
        <v>682</v>
      </c>
      <c r="U43" s="133"/>
    </row>
    <row r="44" spans="1:21" ht="14.4">
      <c r="A44" s="157" t="s">
        <v>555</v>
      </c>
      <c r="B44" s="157" t="s">
        <v>556</v>
      </c>
      <c r="C44" s="157">
        <v>2.2307458150547821</v>
      </c>
      <c r="D44" s="157">
        <v>60</v>
      </c>
      <c r="F44" t="s">
        <v>389</v>
      </c>
      <c r="G44" s="117">
        <v>131.85999999999999</v>
      </c>
      <c r="N44" s="156">
        <f>N43/N33/N35</f>
        <v>9.0168539325842692E-2</v>
      </c>
      <c r="O44" s="156" t="s">
        <v>683</v>
      </c>
      <c r="P44" s="156" t="s">
        <v>684</v>
      </c>
      <c r="U44" s="133"/>
    </row>
    <row r="45" spans="1:21" ht="14.4">
      <c r="A45" s="157" t="s">
        <v>555</v>
      </c>
      <c r="B45" s="157" t="s">
        <v>557</v>
      </c>
      <c r="C45" s="157">
        <v>2.9985613345657862</v>
      </c>
      <c r="D45" s="157">
        <v>60</v>
      </c>
      <c r="F45" t="s">
        <v>373</v>
      </c>
      <c r="G45" s="117">
        <v>131.01500000000001</v>
      </c>
      <c r="L45" s="156">
        <f>N53*N30/G3</f>
        <v>2.0062499999999998E-4</v>
      </c>
      <c r="N45" s="156">
        <f>N44/60</f>
        <v>1.5028089887640448E-3</v>
      </c>
      <c r="O45" s="156" t="s">
        <v>691</v>
      </c>
      <c r="P45" s="156" t="s">
        <v>684</v>
      </c>
      <c r="U45" s="133"/>
    </row>
    <row r="46" spans="1:21" ht="14.4">
      <c r="A46" s="157" t="s">
        <v>558</v>
      </c>
      <c r="B46" s="157" t="s">
        <v>559</v>
      </c>
      <c r="C46" s="157">
        <v>3.7681096646529166</v>
      </c>
      <c r="D46" s="157">
        <v>60</v>
      </c>
      <c r="F46" t="s">
        <v>303</v>
      </c>
      <c r="G46" s="117">
        <v>129.06</v>
      </c>
      <c r="N46" s="156">
        <f>N45/N49</f>
        <v>2.0037453183520596E-4</v>
      </c>
      <c r="O46" s="156" t="s">
        <v>692</v>
      </c>
      <c r="P46" s="156" t="s">
        <v>696</v>
      </c>
      <c r="U46" s="133"/>
    </row>
    <row r="47" spans="1:21" ht="14.4">
      <c r="A47" s="157" t="s">
        <v>305</v>
      </c>
      <c r="B47" s="157" t="s">
        <v>560</v>
      </c>
      <c r="C47" s="157">
        <v>3.1995747630310558</v>
      </c>
      <c r="D47" s="157">
        <v>60</v>
      </c>
      <c r="F47" t="s">
        <v>577</v>
      </c>
      <c r="G47" s="117">
        <v>126.295</v>
      </c>
      <c r="U47" s="133"/>
    </row>
    <row r="48" spans="1:21" ht="14.4">
      <c r="A48" s="157" t="s">
        <v>305</v>
      </c>
      <c r="B48" s="157" t="s">
        <v>561</v>
      </c>
      <c r="C48" s="157">
        <v>2.6625104694437294</v>
      </c>
      <c r="D48" s="157">
        <v>60</v>
      </c>
      <c r="F48" t="s">
        <v>564</v>
      </c>
      <c r="G48" s="117">
        <v>123.575</v>
      </c>
      <c r="N48" s="156">
        <v>200</v>
      </c>
      <c r="O48" s="156" t="s">
        <v>671</v>
      </c>
      <c r="P48" s="156" t="s">
        <v>672</v>
      </c>
      <c r="U48" s="133"/>
    </row>
    <row r="49" spans="1:21" ht="14.4">
      <c r="A49" s="157" t="s">
        <v>308</v>
      </c>
      <c r="B49" s="157" t="s">
        <v>562</v>
      </c>
      <c r="C49" s="157">
        <v>3.6376860628938061</v>
      </c>
      <c r="D49" s="157">
        <v>60</v>
      </c>
      <c r="F49" t="s">
        <v>709</v>
      </c>
      <c r="G49" s="117">
        <v>122.69500000000001</v>
      </c>
      <c r="N49" s="156">
        <v>7.5</v>
      </c>
      <c r="O49" s="156" t="s">
        <v>693</v>
      </c>
      <c r="P49" s="156" t="s">
        <v>694</v>
      </c>
      <c r="Q49" s="176" t="s">
        <v>695</v>
      </c>
      <c r="U49" s="133"/>
    </row>
    <row r="50" spans="1:21" ht="14.4">
      <c r="A50" s="157" t="s">
        <v>308</v>
      </c>
      <c r="B50" s="157" t="s">
        <v>310</v>
      </c>
      <c r="C50" s="157">
        <v>2.9954516721115523</v>
      </c>
      <c r="D50" s="157">
        <v>60</v>
      </c>
      <c r="F50" t="s">
        <v>710</v>
      </c>
      <c r="G50" s="117">
        <v>119.01500000000001</v>
      </c>
      <c r="K50" s="156" t="e">
        <f>N46*O10</f>
        <v>#N/A</v>
      </c>
      <c r="N50" s="173">
        <f>N48*N35*60</f>
        <v>3984000</v>
      </c>
      <c r="O50" s="156" t="s">
        <v>652</v>
      </c>
      <c r="P50" s="156" t="s">
        <v>673</v>
      </c>
      <c r="U50" s="133"/>
    </row>
    <row r="51" spans="1:21" ht="14.4">
      <c r="A51" s="157" t="s">
        <v>308</v>
      </c>
      <c r="B51" s="157" t="s">
        <v>563</v>
      </c>
      <c r="C51" s="157">
        <v>3.3600556872634839</v>
      </c>
      <c r="D51" s="157">
        <v>60</v>
      </c>
      <c r="F51" t="s">
        <v>341</v>
      </c>
      <c r="G51" s="117">
        <v>113.25999999999999</v>
      </c>
      <c r="U51" s="133"/>
    </row>
    <row r="52" spans="1:21" ht="14.4">
      <c r="A52" s="157" t="s">
        <v>564</v>
      </c>
      <c r="B52" s="157" t="s">
        <v>564</v>
      </c>
      <c r="C52" s="157">
        <v>3.2681912148142418</v>
      </c>
      <c r="D52" s="157">
        <v>60</v>
      </c>
      <c r="F52" t="s">
        <v>711</v>
      </c>
      <c r="G52" s="117">
        <v>109.74000000000001</v>
      </c>
      <c r="N52" s="174">
        <f>N41/N50</f>
        <v>1.2499999999999999E-5</v>
      </c>
      <c r="O52" s="156" t="s">
        <v>674</v>
      </c>
      <c r="P52" s="156" t="s">
        <v>675</v>
      </c>
      <c r="U52" s="133"/>
    </row>
    <row r="53" spans="1:21" ht="14.4">
      <c r="A53" s="157" t="s">
        <v>311</v>
      </c>
      <c r="B53" s="157" t="s">
        <v>565</v>
      </c>
      <c r="C53" s="157">
        <v>3.0330623341037199</v>
      </c>
      <c r="D53" s="157">
        <v>60</v>
      </c>
      <c r="F53" t="s">
        <v>712</v>
      </c>
      <c r="G53" s="117">
        <v>106.63</v>
      </c>
      <c r="N53" s="174">
        <f>G3*N52</f>
        <v>4.3249999999999994E-5</v>
      </c>
      <c r="O53" s="156" t="s">
        <v>678</v>
      </c>
      <c r="U53" s="133"/>
    </row>
    <row r="54" spans="1:21" ht="14.4">
      <c r="A54" s="157" t="s">
        <v>311</v>
      </c>
      <c r="B54" s="157" t="s">
        <v>566</v>
      </c>
      <c r="C54" s="157">
        <v>3.1523022109192542</v>
      </c>
      <c r="D54" s="157">
        <v>60</v>
      </c>
      <c r="F54" t="s">
        <v>317</v>
      </c>
      <c r="G54" s="117">
        <v>102.14500000000001</v>
      </c>
      <c r="U54" s="133"/>
    </row>
    <row r="55" spans="1:21" ht="14.4">
      <c r="A55" s="157" t="s">
        <v>311</v>
      </c>
      <c r="B55" s="157" t="s">
        <v>567</v>
      </c>
      <c r="C55" s="157">
        <v>3.1875781637820388</v>
      </c>
      <c r="D55" s="157">
        <v>60</v>
      </c>
      <c r="N55" s="173" t="e">
        <f>N53*8*O10</f>
        <v>#N/A</v>
      </c>
      <c r="O55" s="156" t="s">
        <v>679</v>
      </c>
      <c r="P55" s="156" t="s">
        <v>677</v>
      </c>
      <c r="U55" s="133"/>
    </row>
    <row r="56" spans="1:21" ht="14.4">
      <c r="A56" s="157" t="s">
        <v>568</v>
      </c>
      <c r="B56" s="157" t="s">
        <v>569</v>
      </c>
      <c r="C56" s="157">
        <v>3.3719203302149516</v>
      </c>
      <c r="D56" s="157">
        <v>60</v>
      </c>
      <c r="U56" s="133"/>
    </row>
    <row r="57" spans="1:21">
      <c r="A57" s="157" t="s">
        <v>570</v>
      </c>
      <c r="B57" s="157" t="s">
        <v>570</v>
      </c>
      <c r="C57" s="157">
        <v>3.6830161157898327</v>
      </c>
      <c r="D57" s="157">
        <v>30</v>
      </c>
      <c r="N57" s="173">
        <f>N31*8*60*16700</f>
        <v>1523040</v>
      </c>
      <c r="O57" s="156" t="s">
        <v>670</v>
      </c>
      <c r="P57" s="156" t="s">
        <v>680</v>
      </c>
      <c r="U57" s="157"/>
    </row>
    <row r="58" spans="1:21" ht="14.4">
      <c r="A58" s="157" t="s">
        <v>320</v>
      </c>
      <c r="B58" s="157" t="s">
        <v>571</v>
      </c>
      <c r="C58" s="157">
        <v>3.1061270609225384</v>
      </c>
      <c r="D58" s="157">
        <v>30</v>
      </c>
      <c r="N58" s="173" t="e">
        <f>N44*O4*8*L4</f>
        <v>#N/A</v>
      </c>
      <c r="O58" s="156" t="s">
        <v>685</v>
      </c>
      <c r="U58" s="133"/>
    </row>
    <row r="59" spans="1:21" ht="14.4">
      <c r="A59" s="157" t="s">
        <v>320</v>
      </c>
      <c r="B59" s="157" t="s">
        <v>572</v>
      </c>
      <c r="C59" s="157">
        <v>3.0955745903114957</v>
      </c>
      <c r="D59" s="157">
        <v>30</v>
      </c>
      <c r="U59" s="133"/>
    </row>
    <row r="60" spans="1:21">
      <c r="A60" s="157" t="s">
        <v>323</v>
      </c>
      <c r="B60" s="157" t="s">
        <v>323</v>
      </c>
      <c r="C60" s="157">
        <v>3.9188439745414865</v>
      </c>
      <c r="D60" s="157">
        <v>30</v>
      </c>
      <c r="U60" s="157"/>
    </row>
    <row r="61" spans="1:21" ht="14.4">
      <c r="A61" s="157" t="s">
        <v>573</v>
      </c>
      <c r="B61" s="157" t="s">
        <v>574</v>
      </c>
      <c r="C61" s="157">
        <v>3.5341321786812268</v>
      </c>
      <c r="D61" s="157">
        <v>30</v>
      </c>
      <c r="U61" s="133"/>
    </row>
    <row r="62" spans="1:21" ht="14.4">
      <c r="A62" s="157" t="s">
        <v>325</v>
      </c>
      <c r="B62" s="157" t="s">
        <v>575</v>
      </c>
      <c r="C62" s="157">
        <v>3.7202048242471335</v>
      </c>
      <c r="D62" s="157">
        <v>30</v>
      </c>
      <c r="U62" s="133"/>
    </row>
    <row r="63" spans="1:21" ht="14.4">
      <c r="A63" s="157" t="s">
        <v>325</v>
      </c>
      <c r="B63" s="157" t="s">
        <v>576</v>
      </c>
      <c r="C63" s="157">
        <v>3.2845390717647565</v>
      </c>
      <c r="D63" s="157">
        <v>30</v>
      </c>
      <c r="U63" s="133"/>
    </row>
    <row r="64" spans="1:21" ht="14.4">
      <c r="A64" s="157" t="s">
        <v>577</v>
      </c>
      <c r="B64" s="157" t="s">
        <v>577</v>
      </c>
      <c r="C64" s="157">
        <v>3.8027927844662894</v>
      </c>
      <c r="D64" s="157">
        <v>30</v>
      </c>
      <c r="U64" s="133"/>
    </row>
    <row r="65" spans="1:21" ht="14.4">
      <c r="A65" s="157" t="s">
        <v>328</v>
      </c>
      <c r="B65" s="157" t="s">
        <v>578</v>
      </c>
      <c r="C65" s="157">
        <v>3.7233295284093311</v>
      </c>
      <c r="D65" s="157">
        <v>30</v>
      </c>
      <c r="U65" s="133"/>
    </row>
    <row r="66" spans="1:21" ht="14.4">
      <c r="A66" s="157" t="s">
        <v>331</v>
      </c>
      <c r="B66" s="157" t="s">
        <v>579</v>
      </c>
      <c r="C66" s="157">
        <v>3.905408227262904</v>
      </c>
      <c r="D66" s="157">
        <v>60</v>
      </c>
      <c r="U66" s="133"/>
    </row>
    <row r="67" spans="1:21" ht="14.4">
      <c r="A67" s="157" t="s">
        <v>331</v>
      </c>
      <c r="B67" s="157" t="s">
        <v>580</v>
      </c>
      <c r="C67" s="157">
        <v>2.8562586891784667</v>
      </c>
      <c r="D67" s="157">
        <v>60</v>
      </c>
      <c r="U67" s="133"/>
    </row>
    <row r="68" spans="1:21" ht="14.4">
      <c r="A68" s="157" t="s">
        <v>581</v>
      </c>
      <c r="B68" s="157" t="s">
        <v>581</v>
      </c>
      <c r="C68" s="157">
        <v>4.3301594713012577</v>
      </c>
      <c r="D68" s="157">
        <v>60</v>
      </c>
      <c r="U68" s="133"/>
    </row>
    <row r="69" spans="1:21" ht="14.4">
      <c r="A69" s="157" t="s">
        <v>333</v>
      </c>
      <c r="B69" s="157" t="s">
        <v>334</v>
      </c>
      <c r="C69" s="157">
        <v>3.699354789832249</v>
      </c>
      <c r="D69" s="157">
        <v>60</v>
      </c>
      <c r="U69" s="133"/>
    </row>
    <row r="70" spans="1:21" ht="14.4">
      <c r="A70" s="157" t="s">
        <v>333</v>
      </c>
      <c r="B70" s="157" t="s">
        <v>582</v>
      </c>
      <c r="C70" s="157">
        <v>3.3631000610590207</v>
      </c>
      <c r="D70" s="157">
        <v>60</v>
      </c>
      <c r="U70" s="133"/>
    </row>
    <row r="71" spans="1:21" ht="14.4">
      <c r="A71" s="157" t="s">
        <v>333</v>
      </c>
      <c r="B71" s="157" t="s">
        <v>583</v>
      </c>
      <c r="C71" s="157">
        <v>2.7584397734883037</v>
      </c>
      <c r="D71" s="157">
        <v>60</v>
      </c>
      <c r="U71" s="133"/>
    </row>
    <row r="72" spans="1:21" ht="14.4">
      <c r="A72" s="157" t="s">
        <v>333</v>
      </c>
      <c r="B72" s="157" t="s">
        <v>337</v>
      </c>
      <c r="C72" s="157">
        <v>3.4610439237635902</v>
      </c>
      <c r="D72" s="157">
        <v>60</v>
      </c>
      <c r="U72" s="133"/>
    </row>
    <row r="73" spans="1:21" ht="14.4">
      <c r="A73" s="157" t="s">
        <v>584</v>
      </c>
      <c r="B73" s="157" t="s">
        <v>339</v>
      </c>
      <c r="C73" s="157">
        <v>3.5337709110379203</v>
      </c>
      <c r="D73" s="157">
        <v>60</v>
      </c>
      <c r="U73" s="133"/>
    </row>
    <row r="74" spans="1:21" ht="14.4">
      <c r="A74" s="157" t="s">
        <v>584</v>
      </c>
      <c r="B74" s="157" t="s">
        <v>585</v>
      </c>
      <c r="C74" s="157">
        <v>2.9923118752999813</v>
      </c>
      <c r="D74" s="157">
        <v>60</v>
      </c>
      <c r="U74" s="133"/>
    </row>
    <row r="75" spans="1:21" ht="14.4">
      <c r="A75" s="157" t="s">
        <v>341</v>
      </c>
      <c r="B75" s="157" t="s">
        <v>341</v>
      </c>
      <c r="C75" s="157">
        <v>3.9593102054524758</v>
      </c>
      <c r="D75" s="157">
        <v>60</v>
      </c>
      <c r="U75" s="133"/>
    </row>
    <row r="76" spans="1:21" ht="14.4">
      <c r="A76" s="157" t="s">
        <v>586</v>
      </c>
      <c r="B76" s="157" t="s">
        <v>340</v>
      </c>
      <c r="C76" s="157">
        <v>3.0480990026941459</v>
      </c>
      <c r="D76" s="157">
        <v>60</v>
      </c>
      <c r="U76" s="133"/>
    </row>
    <row r="77" spans="1:21" ht="14.4">
      <c r="A77" s="157" t="s">
        <v>586</v>
      </c>
      <c r="B77" s="157" t="s">
        <v>587</v>
      </c>
      <c r="C77" s="157">
        <v>3.3901012790990013</v>
      </c>
      <c r="D77" s="157">
        <v>60</v>
      </c>
      <c r="U77" s="133"/>
    </row>
    <row r="78" spans="1:21" ht="14.4">
      <c r="A78" s="157" t="s">
        <v>586</v>
      </c>
      <c r="B78" s="157" t="s">
        <v>588</v>
      </c>
      <c r="C78" s="157">
        <v>3.5205809241453787</v>
      </c>
      <c r="D78" s="157">
        <v>60</v>
      </c>
      <c r="U78" s="133"/>
    </row>
    <row r="79" spans="1:21" ht="14.4">
      <c r="A79" s="157" t="s">
        <v>586</v>
      </c>
      <c r="B79" s="157" t="s">
        <v>589</v>
      </c>
      <c r="C79" s="157">
        <v>3.3366995777555069</v>
      </c>
      <c r="D79" s="157">
        <v>60</v>
      </c>
      <c r="U79" s="133"/>
    </row>
    <row r="80" spans="1:21" ht="14.4">
      <c r="A80" s="157" t="s">
        <v>586</v>
      </c>
      <c r="B80" s="157" t="s">
        <v>345</v>
      </c>
      <c r="C80" s="157">
        <v>3.5920940726747426</v>
      </c>
      <c r="D80" s="157">
        <v>60</v>
      </c>
      <c r="U80" s="133"/>
    </row>
    <row r="81" spans="1:21" ht="14.4">
      <c r="A81" s="157" t="s">
        <v>590</v>
      </c>
      <c r="B81" s="157" t="s">
        <v>346</v>
      </c>
      <c r="C81" s="157">
        <v>3.4834453329592092</v>
      </c>
      <c r="D81" s="157">
        <v>60</v>
      </c>
      <c r="U81" s="133"/>
    </row>
    <row r="82" spans="1:21">
      <c r="A82" s="157" t="s">
        <v>590</v>
      </c>
      <c r="B82" s="157" t="s">
        <v>591</v>
      </c>
      <c r="C82" s="157">
        <v>3.8404527562143516</v>
      </c>
      <c r="D82" s="157">
        <v>60</v>
      </c>
      <c r="U82" s="157"/>
    </row>
    <row r="83" spans="1:21" ht="14.4">
      <c r="A83" s="157" t="s">
        <v>592</v>
      </c>
      <c r="B83" s="157" t="s">
        <v>593</v>
      </c>
      <c r="C83" s="157">
        <v>3.519446439501039</v>
      </c>
      <c r="D83" s="157">
        <v>60</v>
      </c>
      <c r="U83" s="133"/>
    </row>
    <row r="84" spans="1:21" ht="14.4">
      <c r="A84" s="157" t="s">
        <v>592</v>
      </c>
      <c r="B84" s="157" t="s">
        <v>350</v>
      </c>
      <c r="C84" s="157">
        <v>2.9879373963747806</v>
      </c>
      <c r="D84" s="157">
        <v>60</v>
      </c>
      <c r="U84" s="133"/>
    </row>
    <row r="85" spans="1:21" ht="14.4">
      <c r="A85" s="157" t="s">
        <v>592</v>
      </c>
      <c r="B85" s="157" t="s">
        <v>352</v>
      </c>
      <c r="C85" s="157">
        <v>3.1338450550797852</v>
      </c>
      <c r="D85" s="157">
        <v>60</v>
      </c>
      <c r="U85" s="133"/>
    </row>
    <row r="86" spans="1:21" ht="14.4">
      <c r="A86" s="157" t="s">
        <v>592</v>
      </c>
      <c r="B86" s="157" t="s">
        <v>594</v>
      </c>
      <c r="C86" s="157">
        <v>2.7349440704674843</v>
      </c>
      <c r="D86" s="157">
        <v>60</v>
      </c>
      <c r="U86" s="133"/>
    </row>
    <row r="87" spans="1:21" ht="14.4">
      <c r="A87" s="157" t="s">
        <v>356</v>
      </c>
      <c r="B87" s="157" t="s">
        <v>595</v>
      </c>
      <c r="C87" s="157">
        <v>3.8116944039003604</v>
      </c>
      <c r="D87" s="157">
        <v>60</v>
      </c>
      <c r="U87" s="133"/>
    </row>
    <row r="88" spans="1:21" ht="14.4">
      <c r="A88" s="157" t="s">
        <v>596</v>
      </c>
      <c r="B88" s="157" t="s">
        <v>359</v>
      </c>
      <c r="C88" s="157">
        <v>2.7015183356751971</v>
      </c>
      <c r="D88" s="157">
        <v>60</v>
      </c>
      <c r="U88" s="133"/>
    </row>
    <row r="89" spans="1:21" ht="14.4">
      <c r="A89" s="157" t="s">
        <v>596</v>
      </c>
      <c r="B89" s="157" t="s">
        <v>597</v>
      </c>
      <c r="C89" s="157">
        <v>3.4473699920852861</v>
      </c>
      <c r="D89" s="157">
        <v>60</v>
      </c>
      <c r="U89" s="133"/>
    </row>
    <row r="90" spans="1:21" ht="14.4">
      <c r="A90" s="157" t="s">
        <v>598</v>
      </c>
      <c r="B90" s="157" t="s">
        <v>598</v>
      </c>
      <c r="C90" s="157">
        <v>4.5770338563037791</v>
      </c>
      <c r="D90" s="157">
        <v>60</v>
      </c>
      <c r="U90" s="133"/>
    </row>
    <row r="91" spans="1:21" ht="14.4">
      <c r="A91" s="157" t="s">
        <v>599</v>
      </c>
      <c r="B91" s="157" t="s">
        <v>365</v>
      </c>
      <c r="C91" s="157">
        <v>3.7890529820406647</v>
      </c>
      <c r="D91" s="157">
        <v>60</v>
      </c>
      <c r="U91" s="133"/>
    </row>
    <row r="92" spans="1:21" ht="14.4">
      <c r="A92" s="157" t="s">
        <v>599</v>
      </c>
      <c r="B92" s="157" t="s">
        <v>361</v>
      </c>
      <c r="C92" s="157">
        <v>3.4411166200620364</v>
      </c>
      <c r="D92" s="157">
        <v>60</v>
      </c>
      <c r="U92" s="133"/>
    </row>
    <row r="93" spans="1:21" ht="14.4">
      <c r="A93" s="157" t="s">
        <v>599</v>
      </c>
      <c r="B93" s="157" t="s">
        <v>363</v>
      </c>
      <c r="C93" s="157">
        <v>3.4235830927462061</v>
      </c>
      <c r="D93" s="157">
        <v>60</v>
      </c>
      <c r="U93" s="133"/>
    </row>
    <row r="94" spans="1:21">
      <c r="A94" s="157" t="s">
        <v>599</v>
      </c>
      <c r="B94" s="157" t="s">
        <v>600</v>
      </c>
      <c r="C94" s="157">
        <v>3.1216402915482835</v>
      </c>
      <c r="D94" s="157">
        <v>60</v>
      </c>
      <c r="U94" s="157"/>
    </row>
    <row r="95" spans="1:21" ht="14.4">
      <c r="A95" s="157" t="s">
        <v>369</v>
      </c>
      <c r="B95" s="157" t="s">
        <v>369</v>
      </c>
      <c r="C95" s="157">
        <v>3.8738402804921006</v>
      </c>
      <c r="D95" s="157">
        <v>60</v>
      </c>
      <c r="U95" s="133"/>
    </row>
    <row r="96" spans="1:21" ht="14.4">
      <c r="A96" s="157" t="s">
        <v>601</v>
      </c>
      <c r="B96" s="157" t="s">
        <v>370</v>
      </c>
      <c r="C96" s="157">
        <v>3.8139864991482249</v>
      </c>
      <c r="D96" s="157">
        <v>60</v>
      </c>
      <c r="U96" s="133"/>
    </row>
    <row r="97" spans="1:21" ht="14.4">
      <c r="A97" s="157" t="s">
        <v>601</v>
      </c>
      <c r="B97" s="157" t="s">
        <v>371</v>
      </c>
      <c r="C97" s="157">
        <v>3.6017119143129444</v>
      </c>
      <c r="D97" s="157">
        <v>60</v>
      </c>
      <c r="U97" s="133"/>
    </row>
    <row r="98" spans="1:21" ht="14.4">
      <c r="A98" s="157" t="s">
        <v>602</v>
      </c>
      <c r="B98" s="157" t="s">
        <v>372</v>
      </c>
      <c r="C98" s="157">
        <v>3.0577578888946739</v>
      </c>
      <c r="D98" s="157">
        <v>60</v>
      </c>
      <c r="U98" s="133"/>
    </row>
    <row r="99" spans="1:21" ht="14.4">
      <c r="A99" s="157" t="s">
        <v>602</v>
      </c>
      <c r="B99" s="157" t="s">
        <v>373</v>
      </c>
      <c r="C99" s="157">
        <v>3.6313719926023813</v>
      </c>
      <c r="D99" s="157">
        <v>60</v>
      </c>
      <c r="U99" s="133"/>
    </row>
    <row r="100" spans="1:21" ht="14.4">
      <c r="A100" s="157" t="s">
        <v>602</v>
      </c>
      <c r="B100" s="157" t="s">
        <v>374</v>
      </c>
      <c r="C100" s="157">
        <v>3.4019281128149057</v>
      </c>
      <c r="D100" s="157">
        <v>60</v>
      </c>
      <c r="U100" s="133"/>
    </row>
    <row r="101" spans="1:21" ht="14.4">
      <c r="A101" s="157" t="s">
        <v>602</v>
      </c>
      <c r="B101" s="157" t="s">
        <v>603</v>
      </c>
      <c r="C101" s="157">
        <v>2.7487831247554957</v>
      </c>
      <c r="D101" s="157">
        <v>60</v>
      </c>
      <c r="U101" s="133"/>
    </row>
    <row r="102" spans="1:21" ht="14.4">
      <c r="A102" s="157" t="s">
        <v>602</v>
      </c>
      <c r="B102" s="157" t="s">
        <v>604</v>
      </c>
      <c r="C102" s="157">
        <v>3.2229810261347973</v>
      </c>
      <c r="D102" s="157">
        <v>60</v>
      </c>
      <c r="U102" s="133"/>
    </row>
    <row r="103" spans="1:21" ht="14.4">
      <c r="A103" s="157" t="s">
        <v>375</v>
      </c>
      <c r="B103" s="157" t="s">
        <v>376</v>
      </c>
      <c r="C103" s="157">
        <v>3.4998105572373523</v>
      </c>
      <c r="D103" s="157">
        <v>60</v>
      </c>
      <c r="U103" s="133"/>
    </row>
    <row r="104" spans="1:21" ht="14.4">
      <c r="A104" s="157" t="s">
        <v>380</v>
      </c>
      <c r="B104" s="157" t="s">
        <v>381</v>
      </c>
      <c r="C104" s="157">
        <v>3.4615041017121708</v>
      </c>
      <c r="D104" s="157">
        <v>60</v>
      </c>
      <c r="U104" s="133"/>
    </row>
    <row r="105" spans="1:21" ht="14.4">
      <c r="A105" s="157" t="s">
        <v>380</v>
      </c>
      <c r="B105" s="157" t="s">
        <v>379</v>
      </c>
      <c r="C105" s="157">
        <v>2.640091585270989</v>
      </c>
      <c r="D105" s="157">
        <v>60</v>
      </c>
      <c r="U105" s="133"/>
    </row>
    <row r="106" spans="1:21" ht="14.4">
      <c r="A106" s="157" t="s">
        <v>382</v>
      </c>
      <c r="B106" s="157" t="s">
        <v>382</v>
      </c>
      <c r="C106" s="157">
        <v>3.4759213225528893</v>
      </c>
      <c r="D106" s="157">
        <v>60</v>
      </c>
      <c r="U106" s="133"/>
    </row>
    <row r="107" spans="1:21" ht="14.4">
      <c r="A107" s="157" t="s">
        <v>605</v>
      </c>
      <c r="B107" s="157" t="s">
        <v>383</v>
      </c>
      <c r="C107" s="157">
        <v>3.7662459291192354</v>
      </c>
      <c r="D107" s="157">
        <v>60</v>
      </c>
      <c r="U107" s="133"/>
    </row>
    <row r="108" spans="1:21" ht="14.4">
      <c r="A108" s="157" t="s">
        <v>605</v>
      </c>
      <c r="B108" s="157" t="s">
        <v>606</v>
      </c>
      <c r="C108" s="157">
        <v>3.233510856989164</v>
      </c>
      <c r="D108" s="157">
        <v>60</v>
      </c>
      <c r="U108" s="133"/>
    </row>
    <row r="109" spans="1:21" ht="14.4">
      <c r="A109" s="157" t="s">
        <v>386</v>
      </c>
      <c r="B109" s="157" t="s">
        <v>387</v>
      </c>
      <c r="C109" s="157">
        <v>3.2798850803768098</v>
      </c>
      <c r="D109" s="157">
        <v>60</v>
      </c>
      <c r="U109" s="133"/>
    </row>
    <row r="110" spans="1:21" ht="14.4">
      <c r="A110" s="157" t="s">
        <v>386</v>
      </c>
      <c r="B110" s="157" t="s">
        <v>385</v>
      </c>
      <c r="C110" s="157">
        <v>2.869651955951479</v>
      </c>
      <c r="D110" s="157">
        <v>60</v>
      </c>
      <c r="U110" s="134"/>
    </row>
    <row r="111" spans="1:21" ht="14.4">
      <c r="A111" s="157" t="s">
        <v>386</v>
      </c>
      <c r="B111" s="157" t="s">
        <v>388</v>
      </c>
      <c r="C111" s="157">
        <v>3.3981763620262133</v>
      </c>
      <c r="D111" s="157">
        <v>60</v>
      </c>
      <c r="U111" s="134"/>
    </row>
    <row r="112" spans="1:21" ht="14.4">
      <c r="A112" s="157" t="s">
        <v>390</v>
      </c>
      <c r="B112" s="157" t="s">
        <v>389</v>
      </c>
      <c r="C112" s="157">
        <v>1.2982370272580619</v>
      </c>
      <c r="D112" s="157">
        <v>60</v>
      </c>
      <c r="U112" s="134"/>
    </row>
    <row r="113" spans="1:21" ht="14.4">
      <c r="A113" s="157" t="s">
        <v>392</v>
      </c>
      <c r="B113" s="157" t="s">
        <v>393</v>
      </c>
      <c r="C113" s="157">
        <v>3.7771779468000952</v>
      </c>
      <c r="D113" s="157">
        <v>60</v>
      </c>
      <c r="U113" s="133"/>
    </row>
    <row r="114" spans="1:21" ht="14.4">
      <c r="A114" s="157" t="s">
        <v>392</v>
      </c>
      <c r="B114" s="157" t="s">
        <v>607</v>
      </c>
      <c r="C114" s="157">
        <v>2.9541148575879088</v>
      </c>
      <c r="D114" s="157">
        <v>60</v>
      </c>
      <c r="U114" s="134"/>
    </row>
    <row r="115" spans="1:21" ht="14.4">
      <c r="A115" s="157" t="s">
        <v>395</v>
      </c>
      <c r="B115" s="157" t="s">
        <v>394</v>
      </c>
      <c r="C115" s="157">
        <v>3.8634729845697375</v>
      </c>
      <c r="D115" s="157">
        <v>60</v>
      </c>
      <c r="U115" s="134"/>
    </row>
    <row r="116" spans="1:21" ht="14.4">
      <c r="A116" s="157" t="s">
        <v>395</v>
      </c>
      <c r="B116" s="157" t="s">
        <v>396</v>
      </c>
      <c r="C116" s="157">
        <v>3.5996192283247872</v>
      </c>
      <c r="D116" s="157">
        <v>60</v>
      </c>
      <c r="U116" s="133"/>
    </row>
    <row r="117" spans="1:21" ht="14.4">
      <c r="A117" s="157" t="s">
        <v>397</v>
      </c>
      <c r="B117" s="157" t="s">
        <v>397</v>
      </c>
      <c r="C117" s="157">
        <v>3.3794242953522371</v>
      </c>
      <c r="D117" s="157">
        <v>60</v>
      </c>
      <c r="U117" s="133"/>
    </row>
    <row r="118" spans="1:21" ht="14.4">
      <c r="A118" s="157" t="s">
        <v>398</v>
      </c>
      <c r="B118" s="157" t="s">
        <v>608</v>
      </c>
      <c r="C118" s="157">
        <v>2.6948705378245479</v>
      </c>
      <c r="D118" s="157">
        <v>60</v>
      </c>
      <c r="U118" s="133"/>
    </row>
    <row r="119" spans="1:21" ht="14.4">
      <c r="A119" s="157" t="s">
        <v>398</v>
      </c>
      <c r="B119" s="157" t="s">
        <v>609</v>
      </c>
      <c r="C119" s="157">
        <v>3.5857574505207603</v>
      </c>
      <c r="D119" s="157">
        <v>60</v>
      </c>
      <c r="U119" s="134"/>
    </row>
    <row r="120" spans="1:21" ht="14.4">
      <c r="A120" s="157" t="s">
        <v>398</v>
      </c>
      <c r="B120" s="157" t="s">
        <v>610</v>
      </c>
      <c r="C120" s="157">
        <v>3.2990926572642358</v>
      </c>
      <c r="D120" s="157">
        <v>60</v>
      </c>
      <c r="U120" s="133"/>
    </row>
    <row r="121" spans="1:21" ht="14.4">
      <c r="A121" s="157" t="s">
        <v>611</v>
      </c>
      <c r="B121" s="157" t="s">
        <v>611</v>
      </c>
      <c r="C121" s="157">
        <v>3.9577194860035982</v>
      </c>
      <c r="D121" s="157">
        <v>60</v>
      </c>
      <c r="U121" s="133"/>
    </row>
    <row r="122" spans="1:21" ht="14.4">
      <c r="A122" s="157" t="s">
        <v>402</v>
      </c>
      <c r="B122" s="157" t="s">
        <v>612</v>
      </c>
      <c r="C122" s="157">
        <v>3.1880606742170157</v>
      </c>
      <c r="D122" s="157">
        <v>60</v>
      </c>
      <c r="U122" s="134"/>
    </row>
    <row r="123" spans="1:21">
      <c r="A123" s="157" t="s">
        <v>613</v>
      </c>
      <c r="B123" s="157" t="s">
        <v>613</v>
      </c>
      <c r="C123" s="157">
        <v>3.1514539448814327</v>
      </c>
      <c r="D123" s="157">
        <v>60</v>
      </c>
      <c r="U123" s="157"/>
    </row>
    <row r="124" spans="1:21" ht="14.4">
      <c r="A124" s="157" t="s">
        <v>614</v>
      </c>
      <c r="B124" s="157" t="s">
        <v>614</v>
      </c>
      <c r="C124" s="157">
        <v>3.7435130963560432</v>
      </c>
      <c r="D124" s="157">
        <v>60</v>
      </c>
      <c r="U124" s="133"/>
    </row>
    <row r="125" spans="1:21" ht="14.4">
      <c r="A125" s="157" t="s">
        <v>406</v>
      </c>
      <c r="B125" s="157" t="s">
        <v>615</v>
      </c>
      <c r="C125" s="157">
        <v>2.7288993736284315</v>
      </c>
      <c r="D125" s="157">
        <v>60</v>
      </c>
      <c r="U125" s="133"/>
    </row>
    <row r="126" spans="1:21" ht="14.4">
      <c r="A126" s="157" t="s">
        <v>406</v>
      </c>
      <c r="B126" s="157" t="s">
        <v>616</v>
      </c>
      <c r="C126" s="157">
        <v>2.6144053335256014</v>
      </c>
      <c r="D126" s="157">
        <v>60</v>
      </c>
      <c r="U126" s="133"/>
    </row>
    <row r="127" spans="1:21" ht="14.4">
      <c r="A127" s="157" t="s">
        <v>406</v>
      </c>
      <c r="B127" s="157" t="s">
        <v>617</v>
      </c>
      <c r="C127" s="157">
        <v>2.9571753652971742</v>
      </c>
      <c r="D127" s="157">
        <v>60</v>
      </c>
      <c r="U127" s="133"/>
    </row>
    <row r="128" spans="1:21" ht="14.4">
      <c r="A128" s="157" t="s">
        <v>406</v>
      </c>
      <c r="B128" s="157" t="s">
        <v>618</v>
      </c>
      <c r="C128" s="157">
        <v>3.7342043578184683</v>
      </c>
      <c r="D128" s="157">
        <v>60</v>
      </c>
      <c r="U128" s="133"/>
    </row>
    <row r="129" spans="1:21" ht="14.4">
      <c r="A129" s="157" t="s">
        <v>406</v>
      </c>
      <c r="B129" s="157" t="s">
        <v>619</v>
      </c>
      <c r="C129" s="157">
        <v>1.8753255683792012</v>
      </c>
      <c r="D129" s="157">
        <v>60</v>
      </c>
      <c r="U129" s="133"/>
    </row>
    <row r="130" spans="1:21" ht="14.4">
      <c r="A130" s="157" t="s">
        <v>406</v>
      </c>
      <c r="B130" s="157" t="s">
        <v>620</v>
      </c>
      <c r="C130" s="157">
        <v>3.4027541899377471</v>
      </c>
      <c r="D130" s="157">
        <v>60</v>
      </c>
      <c r="U130" s="133"/>
    </row>
    <row r="131" spans="1:21" ht="14.4">
      <c r="A131" s="157" t="s">
        <v>621</v>
      </c>
      <c r="B131" s="157" t="s">
        <v>621</v>
      </c>
      <c r="C131" s="157">
        <v>3.4108655157564121</v>
      </c>
      <c r="D131" s="157">
        <v>60</v>
      </c>
      <c r="U131" s="133"/>
    </row>
    <row r="132" spans="1:21" ht="14.4">
      <c r="A132" s="157" t="s">
        <v>622</v>
      </c>
      <c r="B132" s="157" t="s">
        <v>623</v>
      </c>
      <c r="C132" s="157">
        <v>3.0833318883854277</v>
      </c>
      <c r="D132" s="157">
        <v>60</v>
      </c>
      <c r="U132" s="133"/>
    </row>
    <row r="133" spans="1:21" ht="14.4">
      <c r="A133" s="157" t="s">
        <v>624</v>
      </c>
      <c r="B133" s="157" t="s">
        <v>624</v>
      </c>
      <c r="C133" s="157">
        <v>3.8661709843382606</v>
      </c>
      <c r="D133" s="157">
        <v>60</v>
      </c>
      <c r="U133" s="133"/>
    </row>
    <row r="134" spans="1:21">
      <c r="A134" s="157" t="s">
        <v>412</v>
      </c>
      <c r="B134" s="157" t="s">
        <v>625</v>
      </c>
      <c r="C134" s="157">
        <v>2.4312663082234591</v>
      </c>
      <c r="D134" s="157">
        <v>60</v>
      </c>
      <c r="U134" s="157"/>
    </row>
    <row r="135" spans="1:21" ht="14.4">
      <c r="A135" s="157" t="s">
        <v>412</v>
      </c>
      <c r="B135" s="157" t="s">
        <v>626</v>
      </c>
      <c r="C135" s="157">
        <v>3.040551184960246</v>
      </c>
      <c r="D135" s="157">
        <v>60</v>
      </c>
      <c r="U135" s="133"/>
    </row>
    <row r="136" spans="1:21" ht="14.4">
      <c r="A136" s="157" t="s">
        <v>412</v>
      </c>
      <c r="B136" s="157" t="s">
        <v>627</v>
      </c>
      <c r="C136" s="157">
        <v>3.1587883917442792</v>
      </c>
      <c r="D136" s="157">
        <v>60</v>
      </c>
      <c r="U136" s="133"/>
    </row>
    <row r="137" spans="1:21" ht="14.4">
      <c r="A137" s="157" t="s">
        <v>419</v>
      </c>
      <c r="B137" s="157" t="s">
        <v>419</v>
      </c>
      <c r="C137" s="157">
        <v>3.4484730253028912</v>
      </c>
      <c r="D137" s="157">
        <v>60</v>
      </c>
      <c r="U137" s="133"/>
    </row>
    <row r="138" spans="1:21" ht="14.4">
      <c r="A138" s="157" t="s">
        <v>628</v>
      </c>
      <c r="B138" s="157" t="s">
        <v>418</v>
      </c>
      <c r="C138" s="157">
        <v>2.6826476621657518</v>
      </c>
      <c r="D138" s="157">
        <v>60</v>
      </c>
      <c r="U138" s="133"/>
    </row>
    <row r="139" spans="1:21" ht="14.4">
      <c r="A139" s="157" t="s">
        <v>628</v>
      </c>
      <c r="B139" s="157" t="s">
        <v>629</v>
      </c>
      <c r="C139" s="157">
        <v>2.884095298175267</v>
      </c>
      <c r="D139" s="157">
        <v>60</v>
      </c>
      <c r="U139" s="133"/>
    </row>
    <row r="140" spans="1:21" ht="14.4">
      <c r="A140" s="157" t="s">
        <v>628</v>
      </c>
      <c r="B140" s="157" t="s">
        <v>630</v>
      </c>
      <c r="C140" s="157">
        <v>2.8130743614955431</v>
      </c>
      <c r="D140" s="157">
        <v>60</v>
      </c>
      <c r="U140" s="135"/>
    </row>
    <row r="141" spans="1:21" ht="14.4">
      <c r="A141" s="157" t="s">
        <v>631</v>
      </c>
      <c r="B141" s="157" t="s">
        <v>631</v>
      </c>
      <c r="C141" s="157">
        <v>4.3181715745276437</v>
      </c>
      <c r="D141" s="157">
        <v>60</v>
      </c>
      <c r="U141" s="135"/>
    </row>
    <row r="142" spans="1:21">
      <c r="A142" s="157" t="s">
        <v>631</v>
      </c>
      <c r="B142" s="157" t="s">
        <v>632</v>
      </c>
      <c r="C142" s="157">
        <v>3.5821448157906755</v>
      </c>
      <c r="D142" s="157">
        <v>60</v>
      </c>
      <c r="U142" s="157"/>
    </row>
    <row r="143" spans="1:21" ht="14.4">
      <c r="A143" s="157" t="s">
        <v>633</v>
      </c>
      <c r="B143" s="157" t="s">
        <v>634</v>
      </c>
      <c r="C143" s="157">
        <v>3.308481304489129</v>
      </c>
      <c r="D143" s="157">
        <v>60</v>
      </c>
      <c r="U143" s="135"/>
    </row>
    <row r="144" spans="1:21" ht="14.4">
      <c r="A144" s="157" t="s">
        <v>633</v>
      </c>
      <c r="B144" s="157" t="s">
        <v>424</v>
      </c>
      <c r="C144" s="157">
        <v>3.4291332153103973</v>
      </c>
      <c r="D144" s="157">
        <v>60</v>
      </c>
      <c r="U144" s="135"/>
    </row>
    <row r="145" spans="1:21" ht="14.4">
      <c r="A145" s="157" t="s">
        <v>633</v>
      </c>
      <c r="B145" s="157" t="s">
        <v>635</v>
      </c>
      <c r="C145" s="157">
        <v>3.7474004498968014</v>
      </c>
      <c r="D145" s="157">
        <v>60</v>
      </c>
      <c r="U145" s="135"/>
    </row>
    <row r="146" spans="1:21" ht="14.4">
      <c r="A146" s="157" t="s">
        <v>633</v>
      </c>
      <c r="B146" s="157" t="s">
        <v>636</v>
      </c>
      <c r="C146" s="157">
        <v>3.1878031522790549</v>
      </c>
      <c r="D146" s="157">
        <v>60</v>
      </c>
      <c r="U146" s="135"/>
    </row>
    <row r="147" spans="1:21" ht="14.4">
      <c r="A147" s="157" t="s">
        <v>633</v>
      </c>
      <c r="B147" s="157" t="s">
        <v>637</v>
      </c>
      <c r="C147" s="157">
        <v>4.3140620242890542</v>
      </c>
      <c r="D147" s="157">
        <v>60</v>
      </c>
      <c r="U147" s="135"/>
    </row>
    <row r="148" spans="1:21" ht="14.4">
      <c r="U148" s="135"/>
    </row>
    <row r="149" spans="1:21" ht="14.4">
      <c r="U149" s="135"/>
    </row>
    <row r="150" spans="1:21" ht="14.4">
      <c r="U150" s="135"/>
    </row>
    <row r="151" spans="1:21" ht="14.4">
      <c r="U151" s="135"/>
    </row>
    <row r="152" spans="1:21" ht="14.4">
      <c r="U152" s="135"/>
    </row>
    <row r="153" spans="1:21" ht="14.4">
      <c r="U153" s="135"/>
    </row>
    <row r="154" spans="1:21" ht="14.4">
      <c r="U154" s="135"/>
    </row>
    <row r="155" spans="1:21" ht="14.4">
      <c r="U155" s="135"/>
    </row>
    <row r="156" spans="1:21" ht="14.4">
      <c r="U156" s="135"/>
    </row>
    <row r="157" spans="1:21" ht="14.4">
      <c r="U157" s="135"/>
    </row>
    <row r="158" spans="1:21" ht="14.4">
      <c r="U158" s="135"/>
    </row>
    <row r="159" spans="1:21" ht="14.4">
      <c r="U159" s="135"/>
    </row>
    <row r="160" spans="1:21" ht="14.4">
      <c r="U160" s="135"/>
    </row>
    <row r="161" spans="21:21" ht="14.4">
      <c r="U161" s="135"/>
    </row>
    <row r="162" spans="21:21" ht="14.4">
      <c r="U162" s="135"/>
    </row>
    <row r="163" spans="21:21" ht="14.4">
      <c r="U163" s="135"/>
    </row>
    <row r="164" spans="21:21" ht="14.4">
      <c r="U164" s="135"/>
    </row>
  </sheetData>
  <mergeCells count="4">
    <mergeCell ref="A1:I1"/>
    <mergeCell ref="K1:L1"/>
    <mergeCell ref="N1:P1"/>
    <mergeCell ref="N8:P8"/>
  </mergeCells>
  <phoneticPr fontId="18"/>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106"/>
  <sheetViews>
    <sheetView view="pageBreakPreview" workbookViewId="0">
      <selection activeCell="R20" sqref="R20"/>
    </sheetView>
  </sheetViews>
  <sheetFormatPr defaultColWidth="12.8984375" defaultRowHeight="14.4"/>
  <cols>
    <col min="1" max="1" width="3.09765625" style="52" customWidth="1"/>
    <col min="2" max="2" width="3.09765625" customWidth="1"/>
    <col min="3" max="3" width="11" customWidth="1"/>
    <col min="4" max="4" width="13.59765625" customWidth="1"/>
    <col min="5" max="5" width="17.5" customWidth="1"/>
    <col min="6" max="6" width="3.09765625" customWidth="1"/>
    <col min="7" max="7" width="3.09765625" style="52" customWidth="1"/>
    <col min="8" max="8" width="3.09765625" customWidth="1"/>
    <col min="9" max="9" width="15" customWidth="1"/>
    <col min="10" max="10" width="11" customWidth="1"/>
    <col min="11" max="11" width="26.5" customWidth="1"/>
    <col min="14" max="14" width="3.09765625" customWidth="1"/>
    <col min="15" max="15" width="3.09765625" style="52" customWidth="1"/>
    <col min="17" max="17" width="12.09765625" customWidth="1"/>
    <col min="18" max="18" width="15.3984375" bestFit="1" customWidth="1"/>
    <col min="19" max="19" width="4.8984375" customWidth="1"/>
    <col min="20" max="20" width="17.5" bestFit="1" customWidth="1"/>
    <col min="21" max="21" width="4.8984375" customWidth="1"/>
    <col min="22" max="22" width="12.09765625" bestFit="1" customWidth="1"/>
    <col min="23" max="23" width="3.5" bestFit="1" customWidth="1"/>
    <col min="24" max="24" width="11.3984375" customWidth="1"/>
  </cols>
  <sheetData>
    <row r="1" spans="1:24" s="52" customFormat="1" ht="15" thickBot="1">
      <c r="A1" s="54"/>
      <c r="B1" s="54"/>
      <c r="C1" s="54"/>
      <c r="D1" s="54"/>
      <c r="E1" s="54"/>
      <c r="F1" s="54"/>
      <c r="G1" s="54"/>
      <c r="H1" s="54"/>
      <c r="I1" s="54"/>
      <c r="J1" s="54"/>
      <c r="K1" s="54"/>
      <c r="L1" s="54"/>
      <c r="M1" s="54"/>
      <c r="N1" s="54"/>
      <c r="O1" s="54"/>
    </row>
    <row r="2" spans="1:24" ht="36.9" customHeight="1" thickTop="1" thickBot="1">
      <c r="A2" s="54"/>
      <c r="B2" s="441" t="s">
        <v>210</v>
      </c>
      <c r="C2" s="442"/>
      <c r="D2" s="442"/>
      <c r="E2" s="442"/>
      <c r="F2" s="442"/>
      <c r="G2" s="442"/>
      <c r="H2" s="442"/>
      <c r="I2" s="442"/>
      <c r="J2" s="442"/>
      <c r="K2" s="442"/>
      <c r="L2" s="442"/>
      <c r="M2" s="442"/>
      <c r="N2" s="443"/>
      <c r="O2" s="54"/>
    </row>
    <row r="3" spans="1:24" ht="18.899999999999999" customHeight="1" thickTop="1" thickBot="1">
      <c r="A3" s="54"/>
      <c r="B3" s="72"/>
      <c r="C3" s="72"/>
      <c r="D3" s="72"/>
      <c r="E3" s="72"/>
      <c r="F3" s="72"/>
      <c r="G3" s="72"/>
      <c r="H3" s="72"/>
      <c r="I3" s="72"/>
      <c r="J3" s="72"/>
      <c r="K3" s="72"/>
      <c r="L3" s="72"/>
      <c r="M3" s="72"/>
      <c r="N3" s="72"/>
      <c r="O3" s="54"/>
    </row>
    <row r="4" spans="1:24" ht="18.899999999999999" customHeight="1" thickTop="1">
      <c r="A4" s="54"/>
      <c r="B4" s="57"/>
      <c r="C4" s="58"/>
      <c r="D4" s="58"/>
      <c r="E4" s="58"/>
      <c r="F4" s="59"/>
      <c r="G4" s="54"/>
      <c r="H4" s="57"/>
      <c r="I4" s="58"/>
      <c r="J4" s="58"/>
      <c r="K4" s="58"/>
      <c r="L4" s="58"/>
      <c r="M4" s="58"/>
      <c r="N4" s="59"/>
      <c r="O4" s="54"/>
      <c r="Q4" t="s">
        <v>448</v>
      </c>
      <c r="X4" s="80"/>
    </row>
    <row r="5" spans="1:24" ht="18.899999999999999" customHeight="1">
      <c r="A5" s="54"/>
      <c r="B5" s="63"/>
      <c r="C5" s="719" t="s">
        <v>211</v>
      </c>
      <c r="D5" s="719"/>
      <c r="E5" s="719"/>
      <c r="F5" s="68"/>
      <c r="G5" s="54"/>
      <c r="H5" s="63"/>
      <c r="I5" s="719" t="s">
        <v>212</v>
      </c>
      <c r="J5" s="719"/>
      <c r="K5" s="719"/>
      <c r="L5" s="719"/>
      <c r="M5" s="719"/>
      <c r="N5" s="60"/>
      <c r="O5" s="54"/>
      <c r="Q5" s="564" t="s">
        <v>438</v>
      </c>
      <c r="R5" s="564" t="s">
        <v>439</v>
      </c>
      <c r="S5" s="123" t="s">
        <v>460</v>
      </c>
      <c r="T5" s="813" t="s">
        <v>445</v>
      </c>
      <c r="U5" s="813"/>
      <c r="V5" s="813"/>
      <c r="W5" s="124" t="s">
        <v>440</v>
      </c>
      <c r="X5" s="125" t="s">
        <v>441</v>
      </c>
    </row>
    <row r="6" spans="1:24" ht="18.899999999999999" customHeight="1">
      <c r="A6" s="54"/>
      <c r="B6" s="63"/>
      <c r="C6" t="s">
        <v>196</v>
      </c>
      <c r="F6" s="68"/>
      <c r="G6" s="54"/>
      <c r="H6" s="63"/>
      <c r="I6" t="s">
        <v>213</v>
      </c>
      <c r="N6" s="61"/>
      <c r="O6" s="54"/>
      <c r="Q6" s="565"/>
      <c r="R6" s="565"/>
      <c r="S6" s="123" t="s">
        <v>460</v>
      </c>
      <c r="T6" s="124" t="s">
        <v>447</v>
      </c>
      <c r="U6" s="126" t="s">
        <v>463</v>
      </c>
      <c r="V6" s="124" t="s">
        <v>444</v>
      </c>
      <c r="W6" s="124" t="s">
        <v>440</v>
      </c>
      <c r="X6" s="125" t="s">
        <v>442</v>
      </c>
    </row>
    <row r="7" spans="1:24" ht="18.899999999999999" customHeight="1" thickBot="1">
      <c r="A7" s="54"/>
      <c r="B7" s="63"/>
      <c r="F7" s="68"/>
      <c r="G7" s="54"/>
      <c r="H7" s="63"/>
      <c r="N7" s="61"/>
      <c r="O7" s="54"/>
      <c r="Q7" s="566"/>
      <c r="R7" s="566"/>
      <c r="S7" s="123" t="s">
        <v>462</v>
      </c>
      <c r="T7" s="813" t="s">
        <v>446</v>
      </c>
      <c r="U7" s="813"/>
      <c r="V7" s="813"/>
      <c r="W7" s="124" t="s">
        <v>440</v>
      </c>
      <c r="X7" s="125" t="s">
        <v>443</v>
      </c>
    </row>
    <row r="8" spans="1:24" ht="18.899999999999999" customHeight="1" thickBot="1">
      <c r="A8" s="54"/>
      <c r="B8" s="63"/>
      <c r="C8" t="s">
        <v>195</v>
      </c>
      <c r="F8" s="68"/>
      <c r="G8" s="54"/>
      <c r="H8" s="63"/>
      <c r="I8" s="773" t="s">
        <v>231</v>
      </c>
      <c r="J8" s="801" t="s">
        <v>173</v>
      </c>
      <c r="K8" s="801"/>
      <c r="L8" s="812"/>
      <c r="M8" s="806" t="s">
        <v>187</v>
      </c>
      <c r="N8" s="62"/>
      <c r="O8" s="54"/>
      <c r="Q8" s="564" t="s">
        <v>449</v>
      </c>
      <c r="R8" s="564" t="s">
        <v>439</v>
      </c>
      <c r="S8" s="123" t="s">
        <v>464</v>
      </c>
      <c r="T8" s="813" t="s">
        <v>445</v>
      </c>
      <c r="U8" s="813"/>
      <c r="V8" s="813"/>
      <c r="W8" s="124" t="s">
        <v>440</v>
      </c>
      <c r="X8" s="125" t="s">
        <v>441</v>
      </c>
    </row>
    <row r="9" spans="1:24" ht="18.899999999999999" customHeight="1">
      <c r="A9" s="54"/>
      <c r="B9" s="63"/>
      <c r="C9" s="44" t="s">
        <v>192</v>
      </c>
      <c r="D9" s="703"/>
      <c r="E9" s="704"/>
      <c r="F9" s="69"/>
      <c r="G9" s="55"/>
      <c r="H9" s="63"/>
      <c r="I9" s="774"/>
      <c r="J9" s="802"/>
      <c r="K9" s="802"/>
      <c r="L9" s="782"/>
      <c r="M9" s="767"/>
      <c r="N9" s="62"/>
      <c r="O9" s="54"/>
      <c r="Q9" s="565"/>
      <c r="R9" s="565"/>
      <c r="S9" s="123" t="s">
        <v>464</v>
      </c>
      <c r="T9" s="124" t="s">
        <v>447</v>
      </c>
      <c r="U9" s="126" t="s">
        <v>461</v>
      </c>
      <c r="V9" s="124" t="s">
        <v>444</v>
      </c>
      <c r="W9" s="124" t="s">
        <v>440</v>
      </c>
      <c r="X9" s="125" t="s">
        <v>442</v>
      </c>
    </row>
    <row r="10" spans="1:24" ht="18.899999999999999" customHeight="1" thickBot="1">
      <c r="A10" s="54"/>
      <c r="B10" s="63"/>
      <c r="C10" s="45" t="s">
        <v>194</v>
      </c>
      <c r="D10" s="682" t="s">
        <v>130</v>
      </c>
      <c r="E10" s="683"/>
      <c r="F10" s="69"/>
      <c r="G10" s="55"/>
      <c r="H10" s="63"/>
      <c r="I10" s="774"/>
      <c r="J10" s="800" t="s">
        <v>177</v>
      </c>
      <c r="K10" s="811" t="s">
        <v>174</v>
      </c>
      <c r="L10" s="782"/>
      <c r="M10" s="766" t="s">
        <v>188</v>
      </c>
      <c r="N10" s="62"/>
      <c r="O10" s="54"/>
      <c r="Q10" s="566"/>
      <c r="R10" s="566"/>
      <c r="S10" s="123" t="s">
        <v>461</v>
      </c>
      <c r="T10" s="813" t="s">
        <v>446</v>
      </c>
      <c r="U10" s="813"/>
      <c r="V10" s="813"/>
      <c r="W10" s="124" t="s">
        <v>440</v>
      </c>
      <c r="X10" s="125" t="s">
        <v>443</v>
      </c>
    </row>
    <row r="11" spans="1:24" ht="18.899999999999999" customHeight="1">
      <c r="A11" s="54"/>
      <c r="B11" s="63"/>
      <c r="C11" s="26"/>
      <c r="D11" s="43"/>
      <c r="E11" s="43"/>
      <c r="F11" s="69"/>
      <c r="G11" s="55"/>
      <c r="H11" s="63"/>
      <c r="I11" s="774"/>
      <c r="J11" s="800"/>
      <c r="K11" s="799"/>
      <c r="L11" s="775"/>
      <c r="M11" s="767"/>
      <c r="N11" s="62"/>
      <c r="O11" s="54"/>
      <c r="Q11" s="564" t="s">
        <v>450</v>
      </c>
      <c r="R11" s="564" t="s">
        <v>439</v>
      </c>
      <c r="S11" s="123" t="s">
        <v>481</v>
      </c>
      <c r="T11" s="813" t="s">
        <v>445</v>
      </c>
      <c r="U11" s="813"/>
      <c r="V11" s="813"/>
      <c r="W11" s="124" t="s">
        <v>440</v>
      </c>
      <c r="X11" s="125" t="s">
        <v>441</v>
      </c>
    </row>
    <row r="12" spans="1:24" ht="18.899999999999999" customHeight="1">
      <c r="A12" s="54"/>
      <c r="B12" s="63"/>
      <c r="C12" s="73" t="s">
        <v>214</v>
      </c>
      <c r="D12" s="73"/>
      <c r="E12" s="43"/>
      <c r="F12" s="69"/>
      <c r="G12" s="55"/>
      <c r="H12" s="63"/>
      <c r="I12" s="774"/>
      <c r="J12" s="800"/>
      <c r="K12" s="798" t="s">
        <v>175</v>
      </c>
      <c r="L12" s="775"/>
      <c r="M12" s="766" t="s">
        <v>188</v>
      </c>
      <c r="N12" s="62"/>
      <c r="O12" s="54"/>
      <c r="Q12" s="565"/>
      <c r="R12" s="565"/>
      <c r="S12" s="123" t="s">
        <v>481</v>
      </c>
      <c r="T12" s="124" t="s">
        <v>447</v>
      </c>
      <c r="U12" s="126" t="s">
        <v>466</v>
      </c>
      <c r="V12" s="124" t="s">
        <v>444</v>
      </c>
      <c r="W12" s="124" t="s">
        <v>440</v>
      </c>
      <c r="X12" s="125" t="s">
        <v>442</v>
      </c>
    </row>
    <row r="13" spans="1:24" ht="18.899999999999999" customHeight="1">
      <c r="A13" s="54"/>
      <c r="B13" s="63"/>
      <c r="C13" s="73" t="s">
        <v>215</v>
      </c>
      <c r="D13" s="73"/>
      <c r="E13" s="43"/>
      <c r="F13" s="69"/>
      <c r="G13" s="56"/>
      <c r="H13" s="63"/>
      <c r="I13" s="774"/>
      <c r="J13" s="800"/>
      <c r="K13" s="799"/>
      <c r="L13" s="775"/>
      <c r="M13" s="767"/>
      <c r="N13" s="62"/>
      <c r="O13" s="54"/>
      <c r="Q13" s="566"/>
      <c r="R13" s="566"/>
      <c r="S13" s="123" t="s">
        <v>465</v>
      </c>
      <c r="T13" s="813" t="s">
        <v>446</v>
      </c>
      <c r="U13" s="813"/>
      <c r="V13" s="813"/>
      <c r="W13" s="124" t="s">
        <v>440</v>
      </c>
      <c r="X13" s="125" t="s">
        <v>443</v>
      </c>
    </row>
    <row r="14" spans="1:24" ht="18.899999999999999" customHeight="1" thickBot="1">
      <c r="A14" s="54"/>
      <c r="B14" s="63"/>
      <c r="C14" s="73" t="s">
        <v>216</v>
      </c>
      <c r="D14" s="73"/>
      <c r="E14" s="43"/>
      <c r="F14" s="69"/>
      <c r="G14" s="56"/>
      <c r="H14" s="63"/>
      <c r="I14" s="774"/>
      <c r="J14" s="800"/>
      <c r="K14" s="798" t="s">
        <v>190</v>
      </c>
      <c r="L14" s="775"/>
      <c r="M14" s="766" t="s">
        <v>188</v>
      </c>
      <c r="N14" s="62"/>
      <c r="O14" s="54"/>
      <c r="Q14" s="564" t="s">
        <v>451</v>
      </c>
      <c r="R14" s="564" t="s">
        <v>439</v>
      </c>
      <c r="S14" s="123" t="s">
        <v>482</v>
      </c>
      <c r="T14" s="813" t="s">
        <v>445</v>
      </c>
      <c r="U14" s="813"/>
      <c r="V14" s="813"/>
      <c r="W14" s="124" t="s">
        <v>440</v>
      </c>
      <c r="X14" s="125" t="s">
        <v>441</v>
      </c>
    </row>
    <row r="15" spans="1:24" ht="18.899999999999999" customHeight="1">
      <c r="A15" s="54"/>
      <c r="B15" s="63"/>
      <c r="C15" s="787" t="s">
        <v>162</v>
      </c>
      <c r="D15" s="19" t="s">
        <v>161</v>
      </c>
      <c r="E15" s="48">
        <v>10000</v>
      </c>
      <c r="F15" s="70"/>
      <c r="G15" s="56"/>
      <c r="H15" s="63"/>
      <c r="I15" s="774"/>
      <c r="J15" s="800"/>
      <c r="K15" s="799"/>
      <c r="L15" s="775"/>
      <c r="M15" s="767"/>
      <c r="N15" s="62"/>
      <c r="O15" s="54"/>
      <c r="Q15" s="565"/>
      <c r="R15" s="565"/>
      <c r="S15" s="123" t="s">
        <v>482</v>
      </c>
      <c r="T15" s="124" t="s">
        <v>447</v>
      </c>
      <c r="U15" s="126" t="s">
        <v>468</v>
      </c>
      <c r="V15" s="124" t="s">
        <v>444</v>
      </c>
      <c r="W15" s="124" t="s">
        <v>440</v>
      </c>
      <c r="X15" s="125" t="s">
        <v>442</v>
      </c>
    </row>
    <row r="16" spans="1:24" ht="18.899999999999999" customHeight="1">
      <c r="A16" s="54"/>
      <c r="B16" s="63"/>
      <c r="C16" s="784"/>
      <c r="D16" s="2" t="s">
        <v>163</v>
      </c>
      <c r="E16" s="46">
        <v>15</v>
      </c>
      <c r="F16" s="70"/>
      <c r="G16" s="56"/>
      <c r="H16" s="63"/>
      <c r="I16" s="774"/>
      <c r="J16" s="800"/>
      <c r="K16" s="798" t="s">
        <v>176</v>
      </c>
      <c r="L16" s="775"/>
      <c r="M16" s="766" t="s">
        <v>188</v>
      </c>
      <c r="N16" s="62"/>
      <c r="O16" s="54"/>
      <c r="Q16" s="566"/>
      <c r="R16" s="566"/>
      <c r="S16" s="123" t="s">
        <v>467</v>
      </c>
      <c r="T16" s="813" t="s">
        <v>446</v>
      </c>
      <c r="U16" s="813"/>
      <c r="V16" s="813"/>
      <c r="W16" s="124" t="s">
        <v>440</v>
      </c>
      <c r="X16" s="125" t="s">
        <v>443</v>
      </c>
    </row>
    <row r="17" spans="1:24" ht="18.899999999999999" customHeight="1" thickBot="1">
      <c r="A17" s="54"/>
      <c r="B17" s="63"/>
      <c r="C17" s="784"/>
      <c r="D17" s="2" t="s">
        <v>193</v>
      </c>
      <c r="E17" s="47" t="s">
        <v>159</v>
      </c>
      <c r="F17" s="69"/>
      <c r="G17" s="55"/>
      <c r="H17" s="63"/>
      <c r="I17" s="792"/>
      <c r="J17" s="800"/>
      <c r="K17" s="778"/>
      <c r="L17" s="777"/>
      <c r="M17" s="767"/>
      <c r="N17" s="62"/>
      <c r="O17" s="54"/>
      <c r="Q17" s="564" t="s">
        <v>452</v>
      </c>
      <c r="R17" s="564" t="s">
        <v>439</v>
      </c>
      <c r="S17" s="123" t="s">
        <v>483</v>
      </c>
      <c r="T17" s="813" t="s">
        <v>445</v>
      </c>
      <c r="U17" s="813"/>
      <c r="V17" s="813"/>
      <c r="W17" s="124" t="s">
        <v>440</v>
      </c>
      <c r="X17" s="125" t="s">
        <v>441</v>
      </c>
    </row>
    <row r="18" spans="1:24" ht="18.899999999999999" customHeight="1">
      <c r="A18" s="54"/>
      <c r="B18" s="63"/>
      <c r="C18" s="784"/>
      <c r="D18" s="2" t="s">
        <v>219</v>
      </c>
      <c r="E18" s="47" t="s">
        <v>220</v>
      </c>
      <c r="F18" s="69"/>
      <c r="G18" s="55"/>
      <c r="H18" s="63"/>
      <c r="I18" s="793" t="s">
        <v>179</v>
      </c>
      <c r="J18" s="771" t="s">
        <v>189</v>
      </c>
      <c r="K18" s="771"/>
      <c r="L18" s="805"/>
      <c r="M18" s="806" t="s">
        <v>48</v>
      </c>
      <c r="N18" s="62"/>
      <c r="O18" s="54"/>
      <c r="Q18" s="565"/>
      <c r="R18" s="565"/>
      <c r="S18" s="123" t="s">
        <v>483</v>
      </c>
      <c r="T18" s="124" t="s">
        <v>447</v>
      </c>
      <c r="U18" s="126" t="s">
        <v>470</v>
      </c>
      <c r="V18" s="124" t="s">
        <v>444</v>
      </c>
      <c r="W18" s="124" t="s">
        <v>440</v>
      </c>
      <c r="X18" s="125" t="s">
        <v>442</v>
      </c>
    </row>
    <row r="19" spans="1:24" ht="18.899999999999999" customHeight="1">
      <c r="A19" s="54"/>
      <c r="B19" s="63"/>
      <c r="C19" s="783" t="s">
        <v>164</v>
      </c>
      <c r="D19" s="2" t="s">
        <v>161</v>
      </c>
      <c r="E19" s="46">
        <v>1000</v>
      </c>
      <c r="F19" s="70"/>
      <c r="G19" s="56"/>
      <c r="H19" s="63"/>
      <c r="I19" s="769"/>
      <c r="J19" s="772"/>
      <c r="K19" s="772"/>
      <c r="L19" s="775"/>
      <c r="M19" s="767"/>
      <c r="N19" s="62"/>
      <c r="O19" s="54"/>
      <c r="Q19" s="566"/>
      <c r="R19" s="566"/>
      <c r="S19" s="123" t="s">
        <v>469</v>
      </c>
      <c r="T19" s="813" t="s">
        <v>446</v>
      </c>
      <c r="U19" s="813"/>
      <c r="V19" s="813"/>
      <c r="W19" s="124" t="s">
        <v>440</v>
      </c>
      <c r="X19" s="125" t="s">
        <v>443</v>
      </c>
    </row>
    <row r="20" spans="1:24" ht="18.899999999999999" customHeight="1">
      <c r="A20" s="54"/>
      <c r="B20" s="63"/>
      <c r="C20" s="784"/>
      <c r="D20" s="2" t="s">
        <v>163</v>
      </c>
      <c r="E20" s="46">
        <v>14</v>
      </c>
      <c r="F20" s="70"/>
      <c r="G20" s="56"/>
      <c r="H20" s="63"/>
      <c r="I20" s="769"/>
      <c r="J20" s="795" t="s">
        <v>185</v>
      </c>
      <c r="K20" s="798" t="s">
        <v>191</v>
      </c>
      <c r="L20" s="775"/>
      <c r="M20" s="766" t="s">
        <v>188</v>
      </c>
      <c r="N20" s="62"/>
      <c r="O20" s="54"/>
      <c r="Q20" s="564" t="s">
        <v>453</v>
      </c>
      <c r="R20" s="564" t="s">
        <v>439</v>
      </c>
      <c r="S20" s="123" t="s">
        <v>484</v>
      </c>
      <c r="T20" s="813" t="s">
        <v>445</v>
      </c>
      <c r="U20" s="813"/>
      <c r="V20" s="813"/>
      <c r="W20" s="124" t="s">
        <v>440</v>
      </c>
      <c r="X20" s="125" t="s">
        <v>441</v>
      </c>
    </row>
    <row r="21" spans="1:24" ht="18.899999999999999" customHeight="1">
      <c r="A21" s="54"/>
      <c r="B21" s="63"/>
      <c r="C21" s="784"/>
      <c r="D21" s="2" t="s">
        <v>193</v>
      </c>
      <c r="E21" s="47" t="s">
        <v>159</v>
      </c>
      <c r="F21" s="69"/>
      <c r="G21" s="55"/>
      <c r="H21" s="63"/>
      <c r="I21" s="769"/>
      <c r="J21" s="796"/>
      <c r="K21" s="799"/>
      <c r="L21" s="775"/>
      <c r="M21" s="767"/>
      <c r="N21" s="62"/>
      <c r="O21" s="54"/>
      <c r="Q21" s="565"/>
      <c r="R21" s="565"/>
      <c r="S21" s="123" t="s">
        <v>484</v>
      </c>
      <c r="T21" s="124" t="s">
        <v>447</v>
      </c>
      <c r="U21" s="126" t="s">
        <v>472</v>
      </c>
      <c r="V21" s="124" t="s">
        <v>444</v>
      </c>
      <c r="W21" s="124" t="s">
        <v>440</v>
      </c>
      <c r="X21" s="125" t="s">
        <v>442</v>
      </c>
    </row>
    <row r="22" spans="1:24" ht="18.899999999999999" customHeight="1">
      <c r="A22" s="54"/>
      <c r="B22" s="63"/>
      <c r="C22" s="784"/>
      <c r="D22" s="2" t="s">
        <v>219</v>
      </c>
      <c r="E22" s="47" t="s">
        <v>220</v>
      </c>
      <c r="F22" s="69"/>
      <c r="G22" s="55"/>
      <c r="H22" s="63"/>
      <c r="I22" s="769"/>
      <c r="J22" s="796"/>
      <c r="K22" s="778" t="s">
        <v>184</v>
      </c>
      <c r="L22" s="775"/>
      <c r="M22" s="766" t="s">
        <v>188</v>
      </c>
      <c r="N22" s="62"/>
      <c r="O22" s="54"/>
      <c r="Q22" s="566"/>
      <c r="R22" s="566"/>
      <c r="S22" s="123" t="s">
        <v>471</v>
      </c>
      <c r="T22" s="813" t="s">
        <v>446</v>
      </c>
      <c r="U22" s="813"/>
      <c r="V22" s="813"/>
      <c r="W22" s="124" t="s">
        <v>440</v>
      </c>
      <c r="X22" s="125" t="s">
        <v>443</v>
      </c>
    </row>
    <row r="23" spans="1:24" ht="18.899999999999999" customHeight="1" thickBot="1">
      <c r="A23" s="54"/>
      <c r="B23" s="63"/>
      <c r="C23" s="783" t="s">
        <v>165</v>
      </c>
      <c r="D23" s="2" t="s">
        <v>161</v>
      </c>
      <c r="E23" s="46">
        <v>20000</v>
      </c>
      <c r="F23" s="70"/>
      <c r="G23" s="56"/>
      <c r="H23" s="63"/>
      <c r="I23" s="794"/>
      <c r="J23" s="797"/>
      <c r="K23" s="780"/>
      <c r="L23" s="776"/>
      <c r="M23" s="767"/>
      <c r="N23" s="62"/>
      <c r="O23" s="54"/>
      <c r="Q23" s="564" t="s">
        <v>454</v>
      </c>
      <c r="R23" s="564" t="s">
        <v>439</v>
      </c>
      <c r="S23" s="123" t="s">
        <v>485</v>
      </c>
      <c r="T23" s="813" t="s">
        <v>445</v>
      </c>
      <c r="U23" s="813"/>
      <c r="V23" s="813"/>
      <c r="W23" s="124" t="s">
        <v>440</v>
      </c>
      <c r="X23" s="125" t="s">
        <v>441</v>
      </c>
    </row>
    <row r="24" spans="1:24" ht="18.899999999999999" customHeight="1">
      <c r="A24" s="54"/>
      <c r="B24" s="63"/>
      <c r="C24" s="784"/>
      <c r="D24" s="2" t="s">
        <v>163</v>
      </c>
      <c r="E24" s="46">
        <v>13</v>
      </c>
      <c r="F24" s="70"/>
      <c r="G24" s="56"/>
      <c r="H24" s="63"/>
      <c r="I24" s="768" t="s">
        <v>178</v>
      </c>
      <c r="J24" s="781" t="s">
        <v>180</v>
      </c>
      <c r="K24" s="781"/>
      <c r="L24" s="782"/>
      <c r="M24" s="766" t="s">
        <v>48</v>
      </c>
      <c r="N24" s="62"/>
      <c r="O24" s="54"/>
      <c r="Q24" s="565"/>
      <c r="R24" s="565"/>
      <c r="S24" s="123" t="s">
        <v>485</v>
      </c>
      <c r="T24" s="124" t="s">
        <v>447</v>
      </c>
      <c r="U24" s="126" t="s">
        <v>474</v>
      </c>
      <c r="V24" s="124" t="s">
        <v>444</v>
      </c>
      <c r="W24" s="124" t="s">
        <v>440</v>
      </c>
      <c r="X24" s="125" t="s">
        <v>442</v>
      </c>
    </row>
    <row r="25" spans="1:24" ht="18.899999999999999" customHeight="1">
      <c r="A25" s="54"/>
      <c r="B25" s="63"/>
      <c r="C25" s="784"/>
      <c r="D25" s="2" t="s">
        <v>193</v>
      </c>
      <c r="E25" s="47" t="s">
        <v>159</v>
      </c>
      <c r="F25" s="69"/>
      <c r="G25" s="55"/>
      <c r="H25" s="63"/>
      <c r="I25" s="769"/>
      <c r="J25" s="772"/>
      <c r="K25" s="772"/>
      <c r="L25" s="775"/>
      <c r="M25" s="767"/>
      <c r="N25" s="62"/>
      <c r="O25" s="54"/>
      <c r="Q25" s="566"/>
      <c r="R25" s="566"/>
      <c r="S25" s="123" t="s">
        <v>473</v>
      </c>
      <c r="T25" s="813" t="s">
        <v>446</v>
      </c>
      <c r="U25" s="813"/>
      <c r="V25" s="813"/>
      <c r="W25" s="124" t="s">
        <v>440</v>
      </c>
      <c r="X25" s="125" t="s">
        <v>443</v>
      </c>
    </row>
    <row r="26" spans="1:24" ht="18.899999999999999" customHeight="1">
      <c r="A26" s="54"/>
      <c r="B26" s="63"/>
      <c r="C26" s="785"/>
      <c r="D26" s="2" t="s">
        <v>219</v>
      </c>
      <c r="E26" s="47" t="s">
        <v>220</v>
      </c>
      <c r="F26" s="69"/>
      <c r="G26" s="55"/>
      <c r="H26" s="63"/>
      <c r="I26" s="769"/>
      <c r="J26" s="795" t="s">
        <v>185</v>
      </c>
      <c r="K26" s="778" t="s">
        <v>183</v>
      </c>
      <c r="L26" s="775"/>
      <c r="M26" s="766" t="s">
        <v>188</v>
      </c>
      <c r="N26" s="62"/>
      <c r="O26" s="54"/>
      <c r="Q26" s="564" t="s">
        <v>455</v>
      </c>
      <c r="R26" s="564" t="s">
        <v>439</v>
      </c>
      <c r="S26" s="123" t="s">
        <v>486</v>
      </c>
      <c r="T26" s="813" t="s">
        <v>445</v>
      </c>
      <c r="U26" s="813"/>
      <c r="V26" s="813"/>
      <c r="W26" s="124" t="s">
        <v>440</v>
      </c>
      <c r="X26" s="125" t="s">
        <v>441</v>
      </c>
    </row>
    <row r="27" spans="1:24" ht="18.899999999999999" customHeight="1">
      <c r="A27" s="54"/>
      <c r="B27" s="63"/>
      <c r="C27" s="783" t="s">
        <v>166</v>
      </c>
      <c r="D27" s="2" t="s">
        <v>161</v>
      </c>
      <c r="E27" s="46"/>
      <c r="F27" s="70"/>
      <c r="G27" s="56"/>
      <c r="H27" s="63"/>
      <c r="I27" s="769"/>
      <c r="J27" s="796"/>
      <c r="K27" s="779"/>
      <c r="L27" s="775"/>
      <c r="M27" s="767"/>
      <c r="N27" s="62"/>
      <c r="O27" s="54"/>
      <c r="Q27" s="565"/>
      <c r="R27" s="565"/>
      <c r="S27" s="123" t="s">
        <v>486</v>
      </c>
      <c r="T27" s="124" t="s">
        <v>447</v>
      </c>
      <c r="U27" s="126" t="s">
        <v>476</v>
      </c>
      <c r="V27" s="124" t="s">
        <v>444</v>
      </c>
      <c r="W27" s="124" t="s">
        <v>440</v>
      </c>
      <c r="X27" s="125" t="s">
        <v>442</v>
      </c>
    </row>
    <row r="28" spans="1:24" ht="18.899999999999999" customHeight="1">
      <c r="A28" s="54"/>
      <c r="B28" s="63"/>
      <c r="C28" s="784"/>
      <c r="D28" s="2" t="s">
        <v>163</v>
      </c>
      <c r="E28" s="46"/>
      <c r="F28" s="70"/>
      <c r="G28" s="56"/>
      <c r="H28" s="63"/>
      <c r="I28" s="769"/>
      <c r="J28" s="796"/>
      <c r="K28" s="778" t="s">
        <v>184</v>
      </c>
      <c r="L28" s="775"/>
      <c r="M28" s="766" t="s">
        <v>188</v>
      </c>
      <c r="N28" s="62"/>
      <c r="O28" s="54"/>
      <c r="Q28" s="566"/>
      <c r="R28" s="566"/>
      <c r="S28" s="123" t="s">
        <v>475</v>
      </c>
      <c r="T28" s="813" t="s">
        <v>446</v>
      </c>
      <c r="U28" s="813"/>
      <c r="V28" s="813"/>
      <c r="W28" s="124" t="s">
        <v>440</v>
      </c>
      <c r="X28" s="125" t="s">
        <v>443</v>
      </c>
    </row>
    <row r="29" spans="1:24" ht="18.899999999999999" customHeight="1" thickBot="1">
      <c r="A29" s="54"/>
      <c r="B29" s="63"/>
      <c r="C29" s="784"/>
      <c r="D29" s="2" t="s">
        <v>193</v>
      </c>
      <c r="E29" s="47" t="s">
        <v>155</v>
      </c>
      <c r="F29" s="69"/>
      <c r="G29" s="55"/>
      <c r="H29" s="63"/>
      <c r="I29" s="794"/>
      <c r="J29" s="797"/>
      <c r="K29" s="780"/>
      <c r="L29" s="776"/>
      <c r="M29" s="767"/>
      <c r="N29" s="62"/>
      <c r="O29" s="54"/>
      <c r="Q29" s="564" t="s">
        <v>456</v>
      </c>
      <c r="R29" s="564" t="s">
        <v>439</v>
      </c>
      <c r="S29" s="123" t="s">
        <v>487</v>
      </c>
      <c r="T29" s="813" t="s">
        <v>445</v>
      </c>
      <c r="U29" s="813"/>
      <c r="V29" s="813"/>
      <c r="W29" s="124" t="s">
        <v>440</v>
      </c>
      <c r="X29" s="125" t="s">
        <v>441</v>
      </c>
    </row>
    <row r="30" spans="1:24" ht="18.899999999999999" customHeight="1">
      <c r="A30" s="54"/>
      <c r="B30" s="63"/>
      <c r="C30" s="785"/>
      <c r="D30" s="2" t="s">
        <v>219</v>
      </c>
      <c r="E30" s="47" t="s">
        <v>155</v>
      </c>
      <c r="F30" s="69"/>
      <c r="G30" s="55"/>
      <c r="H30" s="63"/>
      <c r="I30" s="768" t="s">
        <v>88</v>
      </c>
      <c r="J30" s="781" t="s">
        <v>182</v>
      </c>
      <c r="K30" s="781"/>
      <c r="L30" s="782"/>
      <c r="M30" s="766" t="s">
        <v>48</v>
      </c>
      <c r="N30" s="62"/>
      <c r="O30" s="54"/>
      <c r="Q30" s="565"/>
      <c r="R30" s="565"/>
      <c r="S30" s="123" t="s">
        <v>487</v>
      </c>
      <c r="T30" s="124" t="s">
        <v>447</v>
      </c>
      <c r="U30" s="126" t="s">
        <v>478</v>
      </c>
      <c r="V30" s="124" t="s">
        <v>444</v>
      </c>
      <c r="W30" s="124" t="s">
        <v>440</v>
      </c>
      <c r="X30" s="125" t="s">
        <v>442</v>
      </c>
    </row>
    <row r="31" spans="1:24" ht="18.899999999999999" customHeight="1">
      <c r="A31" s="54"/>
      <c r="B31" s="63"/>
      <c r="C31" s="783" t="s">
        <v>167</v>
      </c>
      <c r="D31" s="2" t="s">
        <v>161</v>
      </c>
      <c r="E31" s="46"/>
      <c r="F31" s="70"/>
      <c r="G31" s="56"/>
      <c r="H31" s="63"/>
      <c r="I31" s="769"/>
      <c r="J31" s="772"/>
      <c r="K31" s="772"/>
      <c r="L31" s="775"/>
      <c r="M31" s="767"/>
      <c r="N31" s="62"/>
      <c r="O31" s="54"/>
      <c r="Q31" s="566"/>
      <c r="R31" s="566"/>
      <c r="S31" s="123" t="s">
        <v>477</v>
      </c>
      <c r="T31" s="813" t="s">
        <v>446</v>
      </c>
      <c r="U31" s="813"/>
      <c r="V31" s="813"/>
      <c r="W31" s="124" t="s">
        <v>440</v>
      </c>
      <c r="X31" s="125" t="s">
        <v>443</v>
      </c>
    </row>
    <row r="32" spans="1:24" ht="18.899999999999999" customHeight="1">
      <c r="A32" s="54"/>
      <c r="B32" s="63"/>
      <c r="C32" s="784"/>
      <c r="D32" s="2" t="s">
        <v>163</v>
      </c>
      <c r="E32" s="46"/>
      <c r="F32" s="70"/>
      <c r="G32" s="56"/>
      <c r="H32" s="63"/>
      <c r="I32" s="769"/>
      <c r="J32" s="795" t="s">
        <v>185</v>
      </c>
      <c r="K32" s="778" t="s">
        <v>183</v>
      </c>
      <c r="L32" s="775"/>
      <c r="M32" s="766" t="s">
        <v>188</v>
      </c>
      <c r="N32" s="62"/>
      <c r="O32" s="54"/>
      <c r="Q32" s="564" t="s">
        <v>457</v>
      </c>
      <c r="R32" s="564" t="s">
        <v>439</v>
      </c>
      <c r="S32" s="123" t="s">
        <v>488</v>
      </c>
      <c r="T32" s="813" t="s">
        <v>445</v>
      </c>
      <c r="U32" s="813"/>
      <c r="V32" s="813"/>
      <c r="W32" s="124" t="s">
        <v>440</v>
      </c>
      <c r="X32" s="125" t="s">
        <v>441</v>
      </c>
    </row>
    <row r="33" spans="1:24" ht="18.899999999999999" customHeight="1">
      <c r="A33" s="54"/>
      <c r="B33" s="63"/>
      <c r="C33" s="784"/>
      <c r="D33" s="2" t="s">
        <v>193</v>
      </c>
      <c r="E33" s="47" t="s">
        <v>155</v>
      </c>
      <c r="F33" s="69"/>
      <c r="G33" s="55"/>
      <c r="H33" s="63"/>
      <c r="I33" s="769"/>
      <c r="J33" s="796"/>
      <c r="K33" s="779"/>
      <c r="L33" s="775"/>
      <c r="M33" s="767"/>
      <c r="N33" s="62"/>
      <c r="O33" s="54"/>
      <c r="Q33" s="565"/>
      <c r="R33" s="565"/>
      <c r="S33" s="123" t="s">
        <v>488</v>
      </c>
      <c r="T33" s="124" t="s">
        <v>447</v>
      </c>
      <c r="U33" s="126" t="s">
        <v>480</v>
      </c>
      <c r="V33" s="124" t="s">
        <v>444</v>
      </c>
      <c r="W33" s="124" t="s">
        <v>440</v>
      </c>
      <c r="X33" s="125" t="s">
        <v>442</v>
      </c>
    </row>
    <row r="34" spans="1:24" ht="18.899999999999999" customHeight="1">
      <c r="A34" s="54"/>
      <c r="B34" s="63"/>
      <c r="C34" s="785"/>
      <c r="D34" s="2" t="s">
        <v>219</v>
      </c>
      <c r="E34" s="47" t="s">
        <v>155</v>
      </c>
      <c r="F34" s="69"/>
      <c r="G34" s="55"/>
      <c r="H34" s="63"/>
      <c r="I34" s="769"/>
      <c r="J34" s="796"/>
      <c r="K34" s="778" t="s">
        <v>184</v>
      </c>
      <c r="L34" s="775"/>
      <c r="M34" s="766" t="s">
        <v>188</v>
      </c>
      <c r="N34" s="62"/>
      <c r="O34" s="54"/>
      <c r="Q34" s="566"/>
      <c r="R34" s="566"/>
      <c r="S34" s="123" t="s">
        <v>479</v>
      </c>
      <c r="T34" s="813" t="s">
        <v>446</v>
      </c>
      <c r="U34" s="813"/>
      <c r="V34" s="813"/>
      <c r="W34" s="124" t="s">
        <v>440</v>
      </c>
      <c r="X34" s="125" t="s">
        <v>443</v>
      </c>
    </row>
    <row r="35" spans="1:24" ht="18.899999999999999" customHeight="1" thickBot="1">
      <c r="A35" s="54"/>
      <c r="B35" s="63"/>
      <c r="C35" s="783" t="s">
        <v>168</v>
      </c>
      <c r="D35" s="2" t="s">
        <v>161</v>
      </c>
      <c r="E35" s="46"/>
      <c r="F35" s="70"/>
      <c r="G35" s="56"/>
      <c r="H35" s="63"/>
      <c r="I35" s="770"/>
      <c r="J35" s="797"/>
      <c r="K35" s="780"/>
      <c r="L35" s="777"/>
      <c r="M35" s="767"/>
      <c r="N35" s="62"/>
      <c r="O35" s="54"/>
    </row>
    <row r="36" spans="1:24" ht="18.899999999999999" customHeight="1">
      <c r="A36" s="54"/>
      <c r="B36" s="63"/>
      <c r="C36" s="784"/>
      <c r="D36" s="2" t="s">
        <v>163</v>
      </c>
      <c r="E36" s="46"/>
      <c r="F36" s="70"/>
      <c r="G36" s="56"/>
      <c r="H36" s="63"/>
      <c r="I36" s="773" t="s">
        <v>232</v>
      </c>
      <c r="J36" s="771" t="s">
        <v>181</v>
      </c>
      <c r="K36" s="771"/>
      <c r="L36" s="805"/>
      <c r="M36" s="806" t="s">
        <v>48</v>
      </c>
      <c r="N36" s="62"/>
      <c r="O36" s="54"/>
    </row>
    <row r="37" spans="1:24" ht="18.899999999999999" customHeight="1">
      <c r="A37" s="54"/>
      <c r="B37" s="63"/>
      <c r="C37" s="784"/>
      <c r="D37" s="2" t="s">
        <v>193</v>
      </c>
      <c r="E37" s="47" t="s">
        <v>155</v>
      </c>
      <c r="F37" s="69"/>
      <c r="G37" s="55"/>
      <c r="H37" s="63"/>
      <c r="I37" s="774"/>
      <c r="J37" s="772"/>
      <c r="K37" s="772"/>
      <c r="L37" s="775"/>
      <c r="M37" s="767"/>
      <c r="N37" s="62"/>
      <c r="O37" s="54"/>
    </row>
    <row r="38" spans="1:24" ht="18.899999999999999" customHeight="1">
      <c r="A38" s="54"/>
      <c r="B38" s="63"/>
      <c r="C38" s="785"/>
      <c r="D38" s="2" t="s">
        <v>219</v>
      </c>
      <c r="E38" s="47" t="s">
        <v>155</v>
      </c>
      <c r="F38" s="69"/>
      <c r="G38" s="55"/>
      <c r="H38" s="63"/>
      <c r="I38" s="774"/>
      <c r="J38" s="795" t="s">
        <v>185</v>
      </c>
      <c r="K38" s="778" t="s">
        <v>183</v>
      </c>
      <c r="L38" s="775"/>
      <c r="M38" s="766" t="s">
        <v>188</v>
      </c>
      <c r="N38" s="62"/>
      <c r="O38" s="54"/>
    </row>
    <row r="39" spans="1:24" ht="18.899999999999999" customHeight="1">
      <c r="A39" s="54"/>
      <c r="B39" s="63"/>
      <c r="C39" s="783" t="s">
        <v>169</v>
      </c>
      <c r="D39" s="2" t="s">
        <v>161</v>
      </c>
      <c r="E39" s="46"/>
      <c r="F39" s="70"/>
      <c r="G39" s="56"/>
      <c r="H39" s="63"/>
      <c r="I39" s="774"/>
      <c r="J39" s="796"/>
      <c r="K39" s="779"/>
      <c r="L39" s="775"/>
      <c r="M39" s="767"/>
      <c r="N39" s="62"/>
      <c r="O39" s="54"/>
    </row>
    <row r="40" spans="1:24" ht="18.899999999999999" customHeight="1">
      <c r="A40" s="54"/>
      <c r="B40" s="63"/>
      <c r="C40" s="784"/>
      <c r="D40" s="2" t="s">
        <v>163</v>
      </c>
      <c r="E40" s="46"/>
      <c r="F40" s="70"/>
      <c r="G40" s="56"/>
      <c r="H40" s="63"/>
      <c r="I40" s="774"/>
      <c r="J40" s="796"/>
      <c r="K40" s="778" t="s">
        <v>184</v>
      </c>
      <c r="L40" s="775"/>
      <c r="M40" s="766" t="s">
        <v>188</v>
      </c>
      <c r="N40" s="62"/>
      <c r="O40" s="54"/>
    </row>
    <row r="41" spans="1:24" ht="18.899999999999999" customHeight="1" thickBot="1">
      <c r="A41" s="54"/>
      <c r="B41" s="63"/>
      <c r="C41" s="784"/>
      <c r="D41" s="2" t="s">
        <v>193</v>
      </c>
      <c r="E41" s="47" t="s">
        <v>155</v>
      </c>
      <c r="F41" s="69"/>
      <c r="G41" s="55"/>
      <c r="H41" s="63"/>
      <c r="I41" s="774"/>
      <c r="J41" s="796"/>
      <c r="K41" s="804"/>
      <c r="L41" s="777"/>
      <c r="M41" s="803"/>
      <c r="N41" s="62"/>
      <c r="O41" s="54"/>
    </row>
    <row r="42" spans="1:24" ht="18.899999999999999" customHeight="1">
      <c r="A42" s="54"/>
      <c r="B42" s="63"/>
      <c r="C42" s="785"/>
      <c r="D42" s="2" t="s">
        <v>219</v>
      </c>
      <c r="E42" s="47" t="s">
        <v>155</v>
      </c>
      <c r="F42" s="69"/>
      <c r="G42" s="55"/>
      <c r="H42" s="63"/>
      <c r="I42" s="756" t="s">
        <v>186</v>
      </c>
      <c r="J42" s="757"/>
      <c r="K42" s="758"/>
      <c r="L42" s="762"/>
      <c r="M42" s="764" t="s">
        <v>188</v>
      </c>
      <c r="N42" s="62"/>
      <c r="O42" s="54"/>
    </row>
    <row r="43" spans="1:24" ht="18.899999999999999" customHeight="1" thickBot="1">
      <c r="A43" s="54"/>
      <c r="B43" s="63"/>
      <c r="C43" s="783" t="s">
        <v>170</v>
      </c>
      <c r="D43" s="2" t="s">
        <v>161</v>
      </c>
      <c r="E43" s="46"/>
      <c r="F43" s="70"/>
      <c r="G43" s="55"/>
      <c r="H43" s="63"/>
      <c r="I43" s="759"/>
      <c r="J43" s="760"/>
      <c r="K43" s="761"/>
      <c r="L43" s="763"/>
      <c r="M43" s="765"/>
      <c r="N43" s="62"/>
      <c r="O43" s="54"/>
    </row>
    <row r="44" spans="1:24" ht="18.899999999999999" customHeight="1">
      <c r="A44" s="54"/>
      <c r="B44" s="63"/>
      <c r="C44" s="784"/>
      <c r="D44" s="2" t="s">
        <v>163</v>
      </c>
      <c r="E44" s="46"/>
      <c r="F44" s="70"/>
      <c r="G44" s="55"/>
      <c r="H44" s="63"/>
      <c r="I44" s="788" t="s">
        <v>222</v>
      </c>
      <c r="J44" s="789"/>
      <c r="K44" s="789"/>
      <c r="L44" s="809"/>
      <c r="M44" s="807" t="s">
        <v>224</v>
      </c>
      <c r="N44" s="62"/>
      <c r="O44" s="54"/>
    </row>
    <row r="45" spans="1:24" ht="18.899999999999999" customHeight="1" thickBot="1">
      <c r="A45" s="54"/>
      <c r="B45" s="63"/>
      <c r="C45" s="784"/>
      <c r="D45" s="2" t="s">
        <v>193</v>
      </c>
      <c r="E45" s="47" t="s">
        <v>155</v>
      </c>
      <c r="F45" s="69"/>
      <c r="G45" s="56"/>
      <c r="H45" s="63"/>
      <c r="I45" s="790"/>
      <c r="J45" s="791"/>
      <c r="K45" s="791"/>
      <c r="L45" s="810"/>
      <c r="M45" s="808"/>
      <c r="N45" s="62"/>
      <c r="O45" s="54"/>
    </row>
    <row r="46" spans="1:24" ht="18.899999999999999" customHeight="1" thickBot="1">
      <c r="A46" s="54"/>
      <c r="B46" s="63"/>
      <c r="C46" s="785"/>
      <c r="D46" s="2" t="s">
        <v>219</v>
      </c>
      <c r="E46" s="47" t="s">
        <v>155</v>
      </c>
      <c r="F46" s="69"/>
      <c r="G46" s="56"/>
      <c r="H46" s="64"/>
      <c r="I46" s="65"/>
      <c r="J46" s="65"/>
      <c r="K46" s="65"/>
      <c r="L46" s="65"/>
      <c r="M46" s="66"/>
      <c r="N46" s="67"/>
      <c r="O46" s="54"/>
    </row>
    <row r="47" spans="1:24" ht="18.899999999999999" customHeight="1" thickTop="1">
      <c r="A47" s="54"/>
      <c r="B47" s="63"/>
      <c r="C47" s="783" t="s">
        <v>171</v>
      </c>
      <c r="D47" s="2" t="s">
        <v>161</v>
      </c>
      <c r="E47" s="46"/>
      <c r="F47" s="70"/>
      <c r="G47" s="55"/>
      <c r="H47" s="54"/>
      <c r="I47" s="54"/>
      <c r="J47" s="54"/>
      <c r="K47" s="54"/>
      <c r="L47" s="54"/>
      <c r="M47" s="54"/>
      <c r="N47" s="54"/>
      <c r="O47" s="54"/>
    </row>
    <row r="48" spans="1:24" ht="18.899999999999999" customHeight="1">
      <c r="A48" s="54"/>
      <c r="B48" s="63"/>
      <c r="C48" s="784"/>
      <c r="D48" s="2" t="s">
        <v>163</v>
      </c>
      <c r="E48" s="46"/>
      <c r="F48" s="70"/>
      <c r="G48" s="55"/>
      <c r="H48" s="54"/>
      <c r="I48" s="54"/>
      <c r="J48" s="54"/>
      <c r="K48" s="54"/>
      <c r="L48" s="54"/>
      <c r="M48" s="54"/>
      <c r="N48" s="54"/>
      <c r="O48" s="54"/>
    </row>
    <row r="49" spans="1:15" ht="18.899999999999999" customHeight="1">
      <c r="A49" s="54"/>
      <c r="B49" s="63"/>
      <c r="C49" s="784"/>
      <c r="D49" s="2" t="s">
        <v>193</v>
      </c>
      <c r="E49" s="47" t="s">
        <v>155</v>
      </c>
      <c r="F49" s="69"/>
      <c r="G49" s="56"/>
      <c r="H49" s="54"/>
      <c r="I49" s="54"/>
      <c r="J49" s="54"/>
      <c r="K49" s="54"/>
      <c r="L49" s="54"/>
      <c r="M49" s="54"/>
      <c r="N49" s="54"/>
      <c r="O49" s="54"/>
    </row>
    <row r="50" spans="1:15" ht="18.899999999999999" customHeight="1">
      <c r="A50" s="54"/>
      <c r="B50" s="63"/>
      <c r="C50" s="785"/>
      <c r="D50" s="2" t="s">
        <v>219</v>
      </c>
      <c r="E50" s="47" t="s">
        <v>155</v>
      </c>
      <c r="F50" s="69"/>
      <c r="G50" s="55"/>
      <c r="H50" s="54"/>
      <c r="I50" s="54"/>
      <c r="J50" s="54"/>
      <c r="K50" s="54"/>
      <c r="L50" s="54"/>
      <c r="M50" s="54"/>
      <c r="N50" s="54"/>
      <c r="O50" s="54"/>
    </row>
    <row r="51" spans="1:15" ht="18.899999999999999" customHeight="1">
      <c r="A51" s="54"/>
      <c r="B51" s="63"/>
      <c r="C51" s="783" t="s">
        <v>172</v>
      </c>
      <c r="D51" s="2" t="s">
        <v>161</v>
      </c>
      <c r="E51" s="46"/>
      <c r="F51" s="69"/>
      <c r="G51" s="54"/>
      <c r="H51" s="54"/>
      <c r="I51" s="54"/>
      <c r="J51" s="54"/>
      <c r="K51" s="54"/>
      <c r="L51" s="54"/>
      <c r="M51" s="54"/>
      <c r="N51" s="54"/>
      <c r="O51" s="54"/>
    </row>
    <row r="52" spans="1:15" ht="18.899999999999999" customHeight="1">
      <c r="A52" s="54"/>
      <c r="B52" s="63"/>
      <c r="C52" s="784"/>
      <c r="D52" s="2" t="s">
        <v>163</v>
      </c>
      <c r="E52" s="46"/>
      <c r="F52" s="70"/>
      <c r="G52" s="54"/>
      <c r="H52" s="54"/>
      <c r="I52" s="54"/>
      <c r="J52" s="54"/>
      <c r="K52" s="54"/>
      <c r="L52" s="54"/>
      <c r="M52" s="54"/>
      <c r="N52" s="54"/>
      <c r="O52" s="54"/>
    </row>
    <row r="53" spans="1:15" ht="18.899999999999999" customHeight="1">
      <c r="A53" s="54"/>
      <c r="B53" s="63"/>
      <c r="C53" s="784"/>
      <c r="D53" s="2" t="s">
        <v>193</v>
      </c>
      <c r="E53" s="47" t="s">
        <v>155</v>
      </c>
      <c r="F53" s="69"/>
      <c r="G53" s="54"/>
      <c r="H53" s="54"/>
      <c r="I53" s="54"/>
      <c r="J53" s="54"/>
      <c r="K53" s="755" t="s">
        <v>217</v>
      </c>
      <c r="L53" s="755"/>
      <c r="M53" s="755"/>
      <c r="N53" s="755"/>
      <c r="O53" s="54"/>
    </row>
    <row r="54" spans="1:15" ht="18.899999999999999" customHeight="1" thickBot="1">
      <c r="A54" s="54"/>
      <c r="B54" s="63"/>
      <c r="C54" s="786"/>
      <c r="D54" s="42" t="s">
        <v>219</v>
      </c>
      <c r="E54" s="49" t="s">
        <v>155</v>
      </c>
      <c r="F54" s="69"/>
      <c r="G54" s="54"/>
      <c r="H54" s="54"/>
      <c r="I54" s="54"/>
      <c r="J54" s="54"/>
      <c r="K54" s="54"/>
      <c r="L54" s="78"/>
      <c r="M54" s="78"/>
      <c r="N54" s="86" t="s">
        <v>233</v>
      </c>
      <c r="O54" s="54"/>
    </row>
    <row r="55" spans="1:15" ht="18.899999999999999" customHeight="1" thickBot="1">
      <c r="A55" s="54"/>
      <c r="B55" s="82"/>
      <c r="C55" s="83"/>
      <c r="D55" s="71"/>
      <c r="E55" s="84"/>
      <c r="F55" s="85"/>
      <c r="G55" s="54"/>
      <c r="H55" s="54"/>
      <c r="I55" s="54"/>
      <c r="J55" s="54"/>
      <c r="K55" s="54"/>
      <c r="L55" s="79"/>
      <c r="M55" s="79"/>
      <c r="N55" s="79" t="s">
        <v>223</v>
      </c>
      <c r="O55" s="54"/>
    </row>
    <row r="56" spans="1:15" ht="18.899999999999999" customHeight="1" thickTop="1">
      <c r="A56" s="54"/>
      <c r="B56" s="54"/>
      <c r="C56" s="54"/>
      <c r="D56" s="54"/>
      <c r="E56" s="54"/>
      <c r="F56" s="54"/>
      <c r="G56" s="50"/>
      <c r="H56" s="54"/>
      <c r="I56" s="54"/>
      <c r="J56" s="54"/>
      <c r="K56" s="75"/>
      <c r="L56" s="75"/>
      <c r="M56" s="74"/>
      <c r="N56" s="75"/>
      <c r="O56" s="54"/>
    </row>
    <row r="57" spans="1:15">
      <c r="A57" s="76"/>
      <c r="B57" s="77"/>
      <c r="C57" s="77"/>
      <c r="D57" s="77"/>
      <c r="E57" s="77"/>
      <c r="F57" s="76"/>
      <c r="G57" s="76"/>
    </row>
    <row r="58" spans="1:15" s="77" customFormat="1">
      <c r="A58" s="52"/>
      <c r="B58"/>
      <c r="C58" s="50" t="s">
        <v>156</v>
      </c>
      <c r="D58" s="50" t="s">
        <v>157</v>
      </c>
      <c r="E58" s="50" t="s">
        <v>219</v>
      </c>
      <c r="F58" s="53"/>
      <c r="G58" s="52"/>
      <c r="O58" s="76"/>
    </row>
    <row r="59" spans="1:15">
      <c r="C59" s="41" t="s">
        <v>155</v>
      </c>
      <c r="D59" s="41" t="s">
        <v>155</v>
      </c>
      <c r="E59" s="41" t="s">
        <v>155</v>
      </c>
      <c r="F59" s="41"/>
    </row>
    <row r="60" spans="1:15">
      <c r="C60" t="s">
        <v>90</v>
      </c>
      <c r="D60" t="s">
        <v>158</v>
      </c>
      <c r="E60" t="s">
        <v>458</v>
      </c>
    </row>
    <row r="61" spans="1:15">
      <c r="C61" t="s">
        <v>109</v>
      </c>
      <c r="D61" t="s">
        <v>159</v>
      </c>
      <c r="E61" t="s">
        <v>221</v>
      </c>
    </row>
    <row r="62" spans="1:15">
      <c r="C62" t="s">
        <v>110</v>
      </c>
      <c r="D62" t="s">
        <v>160</v>
      </c>
      <c r="E62" t="s">
        <v>459</v>
      </c>
    </row>
    <row r="63" spans="1:15">
      <c r="C63" t="s">
        <v>111</v>
      </c>
    </row>
    <row r="64" spans="1:15">
      <c r="C64" t="s">
        <v>112</v>
      </c>
    </row>
    <row r="65" spans="3:3">
      <c r="C65" t="s">
        <v>113</v>
      </c>
    </row>
    <row r="66" spans="3:3">
      <c r="C66" t="s">
        <v>114</v>
      </c>
    </row>
    <row r="67" spans="3:3">
      <c r="C67" t="s">
        <v>115</v>
      </c>
    </row>
    <row r="68" spans="3:3">
      <c r="C68" t="s">
        <v>116</v>
      </c>
    </row>
    <row r="69" spans="3:3">
      <c r="C69" t="s">
        <v>117</v>
      </c>
    </row>
    <row r="70" spans="3:3">
      <c r="C70" t="s">
        <v>118</v>
      </c>
    </row>
    <row r="71" spans="3:3">
      <c r="C71" t="s">
        <v>119</v>
      </c>
    </row>
    <row r="72" spans="3:3">
      <c r="C72" t="s">
        <v>120</v>
      </c>
    </row>
    <row r="73" spans="3:3">
      <c r="C73" t="s">
        <v>121</v>
      </c>
    </row>
    <row r="74" spans="3:3">
      <c r="C74" t="s">
        <v>122</v>
      </c>
    </row>
    <row r="75" spans="3:3">
      <c r="C75" t="s">
        <v>123</v>
      </c>
    </row>
    <row r="76" spans="3:3">
      <c r="C76" t="s">
        <v>124</v>
      </c>
    </row>
    <row r="77" spans="3:3">
      <c r="C77" t="s">
        <v>125</v>
      </c>
    </row>
    <row r="78" spans="3:3">
      <c r="C78" t="s">
        <v>126</v>
      </c>
    </row>
    <row r="79" spans="3:3">
      <c r="C79" t="s">
        <v>127</v>
      </c>
    </row>
    <row r="80" spans="3:3">
      <c r="C80" t="s">
        <v>128</v>
      </c>
    </row>
    <row r="81" spans="3:3">
      <c r="C81" t="s">
        <v>129</v>
      </c>
    </row>
    <row r="82" spans="3:3">
      <c r="C82" t="s">
        <v>130</v>
      </c>
    </row>
    <row r="83" spans="3:3">
      <c r="C83" t="s">
        <v>131</v>
      </c>
    </row>
    <row r="84" spans="3:3">
      <c r="C84" t="s">
        <v>132</v>
      </c>
    </row>
    <row r="85" spans="3:3">
      <c r="C85" t="s">
        <v>133</v>
      </c>
    </row>
    <row r="86" spans="3:3">
      <c r="C86" t="s">
        <v>134</v>
      </c>
    </row>
    <row r="87" spans="3:3">
      <c r="C87" t="s">
        <v>135</v>
      </c>
    </row>
    <row r="88" spans="3:3">
      <c r="C88" t="s">
        <v>136</v>
      </c>
    </row>
    <row r="89" spans="3:3">
      <c r="C89" t="s">
        <v>137</v>
      </c>
    </row>
    <row r="90" spans="3:3">
      <c r="C90" t="s">
        <v>138</v>
      </c>
    </row>
    <row r="91" spans="3:3">
      <c r="C91" t="s">
        <v>139</v>
      </c>
    </row>
    <row r="92" spans="3:3">
      <c r="C92" t="s">
        <v>140</v>
      </c>
    </row>
    <row r="93" spans="3:3">
      <c r="C93" t="s">
        <v>141</v>
      </c>
    </row>
    <row r="94" spans="3:3">
      <c r="C94" t="s">
        <v>142</v>
      </c>
    </row>
    <row r="95" spans="3:3">
      <c r="C95" t="s">
        <v>143</v>
      </c>
    </row>
    <row r="96" spans="3:3">
      <c r="C96" t="s">
        <v>144</v>
      </c>
    </row>
    <row r="97" spans="3:3">
      <c r="C97" t="s">
        <v>145</v>
      </c>
    </row>
    <row r="98" spans="3:3">
      <c r="C98" t="s">
        <v>146</v>
      </c>
    </row>
    <row r="99" spans="3:3">
      <c r="C99" t="s">
        <v>147</v>
      </c>
    </row>
    <row r="100" spans="3:3">
      <c r="C100" t="s">
        <v>148</v>
      </c>
    </row>
    <row r="101" spans="3:3">
      <c r="C101" t="s">
        <v>149</v>
      </c>
    </row>
    <row r="102" spans="3:3">
      <c r="C102" t="s">
        <v>150</v>
      </c>
    </row>
    <row r="103" spans="3:3">
      <c r="C103" t="s">
        <v>151</v>
      </c>
    </row>
    <row r="104" spans="3:3">
      <c r="C104" t="s">
        <v>152</v>
      </c>
    </row>
    <row r="105" spans="3:3">
      <c r="C105" t="s">
        <v>153</v>
      </c>
    </row>
    <row r="106" spans="3:3">
      <c r="C106" t="s">
        <v>154</v>
      </c>
    </row>
  </sheetData>
  <mergeCells count="123">
    <mergeCell ref="T16:V16"/>
    <mergeCell ref="Q29:Q31"/>
    <mergeCell ref="R29:R31"/>
    <mergeCell ref="T29:V29"/>
    <mergeCell ref="T31:V31"/>
    <mergeCell ref="Q32:Q34"/>
    <mergeCell ref="R32:R34"/>
    <mergeCell ref="T32:V32"/>
    <mergeCell ref="T34:V34"/>
    <mergeCell ref="Q23:Q25"/>
    <mergeCell ref="R23:R25"/>
    <mergeCell ref="T23:V23"/>
    <mergeCell ref="T25:V25"/>
    <mergeCell ref="Q26:Q28"/>
    <mergeCell ref="R26:R28"/>
    <mergeCell ref="T26:V26"/>
    <mergeCell ref="T28:V28"/>
    <mergeCell ref="Q5:Q7"/>
    <mergeCell ref="R5:R7"/>
    <mergeCell ref="T5:V5"/>
    <mergeCell ref="T7:V7"/>
    <mergeCell ref="Q8:Q10"/>
    <mergeCell ref="R8:R10"/>
    <mergeCell ref="T8:V8"/>
    <mergeCell ref="T10:V10"/>
    <mergeCell ref="M24:M25"/>
    <mergeCell ref="Q17:Q19"/>
    <mergeCell ref="R17:R19"/>
    <mergeCell ref="T17:V17"/>
    <mergeCell ref="T19:V19"/>
    <mergeCell ref="Q20:Q22"/>
    <mergeCell ref="R20:R22"/>
    <mergeCell ref="T20:V20"/>
    <mergeCell ref="T22:V22"/>
    <mergeCell ref="Q11:Q13"/>
    <mergeCell ref="R11:R13"/>
    <mergeCell ref="T11:V11"/>
    <mergeCell ref="T13:V13"/>
    <mergeCell ref="Q14:Q16"/>
    <mergeCell ref="R14:R16"/>
    <mergeCell ref="T14:V14"/>
    <mergeCell ref="B2:N2"/>
    <mergeCell ref="C5:E5"/>
    <mergeCell ref="I5:M5"/>
    <mergeCell ref="M18:M19"/>
    <mergeCell ref="L20:L21"/>
    <mergeCell ref="M20:M21"/>
    <mergeCell ref="M22:M23"/>
    <mergeCell ref="L24:L25"/>
    <mergeCell ref="L18:L19"/>
    <mergeCell ref="K10:K11"/>
    <mergeCell ref="L16:L17"/>
    <mergeCell ref="M8:M9"/>
    <mergeCell ref="M12:M13"/>
    <mergeCell ref="L12:L13"/>
    <mergeCell ref="L14:L15"/>
    <mergeCell ref="M14:M15"/>
    <mergeCell ref="L8:L9"/>
    <mergeCell ref="M16:M17"/>
    <mergeCell ref="C35:C38"/>
    <mergeCell ref="C39:C42"/>
    <mergeCell ref="C43:C46"/>
    <mergeCell ref="K34:K35"/>
    <mergeCell ref="L38:L39"/>
    <mergeCell ref="M38:M39"/>
    <mergeCell ref="L40:L41"/>
    <mergeCell ref="M40:M41"/>
    <mergeCell ref="J32:J35"/>
    <mergeCell ref="K32:K33"/>
    <mergeCell ref="M34:M35"/>
    <mergeCell ref="J38:J41"/>
    <mergeCell ref="K38:K39"/>
    <mergeCell ref="K40:K41"/>
    <mergeCell ref="L36:L37"/>
    <mergeCell ref="M36:M37"/>
    <mergeCell ref="M44:M45"/>
    <mergeCell ref="L44:L45"/>
    <mergeCell ref="M32:M33"/>
    <mergeCell ref="C47:C50"/>
    <mergeCell ref="C51:C54"/>
    <mergeCell ref="C15:C18"/>
    <mergeCell ref="C19:C22"/>
    <mergeCell ref="C23:C26"/>
    <mergeCell ref="C27:C30"/>
    <mergeCell ref="C31:C34"/>
    <mergeCell ref="I44:K45"/>
    <mergeCell ref="L32:L33"/>
    <mergeCell ref="I8:I17"/>
    <mergeCell ref="I18:I23"/>
    <mergeCell ref="I24:I29"/>
    <mergeCell ref="K22:K23"/>
    <mergeCell ref="J26:J29"/>
    <mergeCell ref="J24:K25"/>
    <mergeCell ref="J18:K19"/>
    <mergeCell ref="J20:J23"/>
    <mergeCell ref="K20:K21"/>
    <mergeCell ref="J10:J17"/>
    <mergeCell ref="J8:K9"/>
    <mergeCell ref="K12:K13"/>
    <mergeCell ref="K16:K17"/>
    <mergeCell ref="K14:K15"/>
    <mergeCell ref="L10:L11"/>
    <mergeCell ref="K53:N53"/>
    <mergeCell ref="I42:K43"/>
    <mergeCell ref="L42:L43"/>
    <mergeCell ref="M42:M43"/>
    <mergeCell ref="D9:E9"/>
    <mergeCell ref="D10:E10"/>
    <mergeCell ref="M10:M11"/>
    <mergeCell ref="I30:I35"/>
    <mergeCell ref="J36:K37"/>
    <mergeCell ref="I36:I41"/>
    <mergeCell ref="L22:L23"/>
    <mergeCell ref="L28:L29"/>
    <mergeCell ref="L34:L35"/>
    <mergeCell ref="K26:K27"/>
    <mergeCell ref="K28:K29"/>
    <mergeCell ref="J30:K31"/>
    <mergeCell ref="L26:L27"/>
    <mergeCell ref="M26:M27"/>
    <mergeCell ref="M28:M29"/>
    <mergeCell ref="L30:L31"/>
    <mergeCell ref="M30:M31"/>
  </mergeCells>
  <phoneticPr fontId="18"/>
  <dataValidations count="4">
    <dataValidation type="whole" imeMode="off" operator="greaterThanOrEqual" allowBlank="1" showInputMessage="1" showErrorMessage="1" sqref="E15:E16 E19:E20 E23:E24 E27:E28 E31:E32 E35:E36 E39:E40 E43:E44 E47:E48 E51:E52">
      <formula1>0</formula1>
    </dataValidation>
    <dataValidation type="list" allowBlank="1" showInputMessage="1" showErrorMessage="1" sqref="E45 E25 E37 E21 E49 E17 E33 E41 E29 E53">
      <formula1>$D$59:$D$62</formula1>
    </dataValidation>
    <dataValidation type="list" allowBlank="1" showInputMessage="1" showErrorMessage="1" sqref="D10">
      <formula1>$C$59:$C$106</formula1>
    </dataValidation>
    <dataValidation type="list" allowBlank="1" showInputMessage="1" showErrorMessage="1" sqref="E18 E54:E55 E42 E38 E34 E30 E26 E22 E46 E50">
      <formula1>$E$59:$E$62</formula1>
    </dataValidation>
  </dataValidations>
  <pageMargins left="0" right="0" top="0" bottom="0" header="0" footer="0"/>
  <pageSetup paperSize="9" scale="65" orientation="portrait" r:id="rId1"/>
  <colBreaks count="1" manualBreakCount="1">
    <brk id="15" max="1048575" man="1"/>
  </colBreak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105"/>
  <sheetViews>
    <sheetView topLeftCell="A49" workbookViewId="0">
      <selection activeCell="R20" sqref="R20"/>
    </sheetView>
  </sheetViews>
  <sheetFormatPr defaultColWidth="12.8984375" defaultRowHeight="14.4"/>
  <cols>
    <col min="1" max="1" width="5.5" bestFit="1" customWidth="1"/>
    <col min="2" max="2" width="14.09765625" bestFit="1" customWidth="1"/>
    <col min="3" max="3" width="20.09765625" bestFit="1" customWidth="1"/>
    <col min="4" max="4" width="17.5" bestFit="1" customWidth="1"/>
    <col min="5" max="5" width="21.5" bestFit="1" customWidth="1"/>
    <col min="6" max="6" width="6.09765625" customWidth="1"/>
    <col min="7" max="7" width="8.8984375" bestFit="1" customWidth="1"/>
    <col min="8" max="8" width="48.09765625" bestFit="1" customWidth="1"/>
    <col min="9" max="10" width="18.09765625" bestFit="1" customWidth="1"/>
    <col min="11" max="12" width="7.8984375" customWidth="1"/>
    <col min="13" max="13" width="11.5" bestFit="1" customWidth="1"/>
  </cols>
  <sheetData>
    <row r="1" spans="1:13" ht="19.2">
      <c r="A1" s="817" t="s">
        <v>26</v>
      </c>
      <c r="B1" s="817"/>
      <c r="C1" s="817"/>
      <c r="D1" s="817"/>
      <c r="E1" s="817"/>
    </row>
    <row r="2" spans="1:13">
      <c r="A2" t="s">
        <v>24</v>
      </c>
    </row>
    <row r="4" spans="1:13" ht="28.8">
      <c r="A4" s="814" t="s">
        <v>25</v>
      </c>
      <c r="B4" s="815"/>
      <c r="C4" s="815"/>
      <c r="D4" s="815"/>
      <c r="E4" s="816"/>
      <c r="H4" s="8" t="s">
        <v>35</v>
      </c>
      <c r="I4" s="7" t="s">
        <v>21</v>
      </c>
      <c r="J4" s="5" t="s">
        <v>0</v>
      </c>
      <c r="K4" s="5" t="s">
        <v>1</v>
      </c>
      <c r="L4" s="5" t="s">
        <v>2</v>
      </c>
      <c r="M4" s="5" t="s">
        <v>3</v>
      </c>
    </row>
    <row r="5" spans="1:13">
      <c r="A5" s="2" t="s">
        <v>4</v>
      </c>
      <c r="B5" s="2" t="s">
        <v>5</v>
      </c>
      <c r="C5" s="2" t="s">
        <v>23</v>
      </c>
      <c r="D5" s="2" t="s">
        <v>13</v>
      </c>
      <c r="E5" s="2" t="s">
        <v>14</v>
      </c>
      <c r="F5" s="1"/>
      <c r="G5" s="1"/>
      <c r="H5" s="2" t="s">
        <v>27</v>
      </c>
      <c r="I5" s="2">
        <v>1</v>
      </c>
      <c r="J5" s="2">
        <v>195.8</v>
      </c>
      <c r="K5" s="2">
        <v>2.9000000000000001E-2</v>
      </c>
      <c r="L5" s="2">
        <v>0.37</v>
      </c>
      <c r="M5" s="2">
        <v>0.99950000000000006</v>
      </c>
    </row>
    <row r="6" spans="1:13">
      <c r="A6">
        <v>1</v>
      </c>
      <c r="B6" s="1">
        <f>$J$5*(1-$I$5*EXP(-$K$5*A6))^(1/1-$L$5)</f>
        <v>20.852865092744654</v>
      </c>
      <c r="C6" s="1">
        <f>B6</f>
        <v>20.852865092744654</v>
      </c>
      <c r="D6" s="1">
        <f>C6*$I$9*(1+$K$9)*$L$9*$M$9*$I$17</f>
        <v>11.47674965536369</v>
      </c>
      <c r="E6" s="1">
        <f>D6*44/12/10000*1000</f>
        <v>4.2081415403000202</v>
      </c>
      <c r="F6" s="1"/>
      <c r="G6" s="1"/>
    </row>
    <row r="7" spans="1:13">
      <c r="A7">
        <v>2</v>
      </c>
      <c r="B7" s="1">
        <f t="shared" ref="B7:B70" si="0">$J$5*(1-$I$5*EXP(-$K$5*A7))^(1/1-$L$5)</f>
        <v>31.979827183768872</v>
      </c>
      <c r="C7" s="1">
        <f>B7-B6</f>
        <v>11.126962091024218</v>
      </c>
      <c r="D7" s="1">
        <f t="shared" ref="D7:D70" si="1">C7*$I$9*(1+$K$9)*$L$9*$M$9*$I$17</f>
        <v>6.1239238721128171</v>
      </c>
      <c r="E7" s="1">
        <f t="shared" ref="E7:E70" si="2">D7*44/12/10000*1000</f>
        <v>2.2454387531080329</v>
      </c>
      <c r="F7" s="1"/>
      <c r="G7" s="1"/>
      <c r="H7" s="820" t="s">
        <v>34</v>
      </c>
      <c r="I7" s="563" t="s">
        <v>12</v>
      </c>
      <c r="J7" s="563"/>
      <c r="K7" s="564" t="s">
        <v>9</v>
      </c>
      <c r="L7" s="564" t="s">
        <v>10</v>
      </c>
      <c r="M7" s="564" t="s">
        <v>11</v>
      </c>
    </row>
    <row r="8" spans="1:13">
      <c r="A8">
        <v>3</v>
      </c>
      <c r="B8" s="1">
        <f t="shared" si="0"/>
        <v>40.916102626239777</v>
      </c>
      <c r="C8" s="1">
        <f t="shared" ref="C8:C71" si="3">B8-B7</f>
        <v>8.9362754424709046</v>
      </c>
      <c r="D8" s="1">
        <f t="shared" si="1"/>
        <v>4.9182400427218269</v>
      </c>
      <c r="E8" s="1">
        <f t="shared" si="2"/>
        <v>1.8033546823313364</v>
      </c>
      <c r="F8" s="1"/>
      <c r="G8" s="1"/>
      <c r="H8" s="821"/>
      <c r="I8" s="5" t="s">
        <v>7</v>
      </c>
      <c r="J8" s="5" t="s">
        <v>8</v>
      </c>
      <c r="K8" s="566"/>
      <c r="L8" s="566"/>
      <c r="M8" s="566"/>
    </row>
    <row r="9" spans="1:13">
      <c r="A9">
        <v>4</v>
      </c>
      <c r="B9" s="1">
        <f t="shared" si="0"/>
        <v>48.607746204783133</v>
      </c>
      <c r="C9" s="1">
        <f t="shared" si="3"/>
        <v>7.6916435785433563</v>
      </c>
      <c r="D9" s="1">
        <f t="shared" si="1"/>
        <v>4.2332344930357495</v>
      </c>
      <c r="E9" s="1">
        <f t="shared" si="2"/>
        <v>1.5521859807797749</v>
      </c>
      <c r="F9" s="1"/>
      <c r="G9" s="1"/>
      <c r="H9" s="3" t="s">
        <v>6</v>
      </c>
      <c r="I9" s="3">
        <v>1.4</v>
      </c>
      <c r="J9" s="3">
        <v>1.26</v>
      </c>
      <c r="K9" s="3">
        <v>0.26</v>
      </c>
      <c r="L9" s="3">
        <v>0.624</v>
      </c>
      <c r="M9" s="3">
        <v>0.5</v>
      </c>
    </row>
    <row r="10" spans="1:13">
      <c r="A10">
        <v>5</v>
      </c>
      <c r="B10" s="1">
        <f t="shared" si="0"/>
        <v>55.446964630860897</v>
      </c>
      <c r="C10" s="1">
        <f t="shared" si="3"/>
        <v>6.839218426077764</v>
      </c>
      <c r="D10" s="1">
        <f t="shared" si="1"/>
        <v>3.7640869667235668</v>
      </c>
      <c r="E10" s="1">
        <f t="shared" si="2"/>
        <v>1.3801652211319748</v>
      </c>
      <c r="F10" s="1"/>
      <c r="G10" s="1"/>
    </row>
    <row r="11" spans="1:13">
      <c r="A11">
        <v>6</v>
      </c>
      <c r="B11" s="1">
        <f t="shared" si="0"/>
        <v>61.64531834204044</v>
      </c>
      <c r="C11" s="1">
        <f t="shared" si="3"/>
        <v>6.1983537111795428</v>
      </c>
      <c r="D11" s="1">
        <f t="shared" si="1"/>
        <v>3.4113755353144626</v>
      </c>
      <c r="E11" s="1">
        <f t="shared" si="2"/>
        <v>1.2508376962819696</v>
      </c>
      <c r="F11" s="1"/>
      <c r="G11" s="1"/>
      <c r="H11" s="9" t="s">
        <v>218</v>
      </c>
      <c r="I11" s="2"/>
      <c r="J11" s="2"/>
      <c r="K11" s="2"/>
    </row>
    <row r="12" spans="1:13">
      <c r="A12">
        <v>7</v>
      </c>
      <c r="B12" s="1">
        <f t="shared" si="0"/>
        <v>67.333914248546989</v>
      </c>
      <c r="C12" s="1">
        <f t="shared" si="3"/>
        <v>5.6885959065065492</v>
      </c>
      <c r="D12" s="1">
        <f t="shared" si="1"/>
        <v>3.1308211518721962</v>
      </c>
      <c r="E12" s="1">
        <f t="shared" si="2"/>
        <v>1.147967755686472</v>
      </c>
      <c r="F12" s="1"/>
      <c r="G12" s="1"/>
      <c r="H12" s="2" t="s">
        <v>90</v>
      </c>
      <c r="I12" s="2">
        <v>0.6</v>
      </c>
      <c r="J12" s="2" t="s">
        <v>96</v>
      </c>
      <c r="K12" s="2">
        <v>1</v>
      </c>
    </row>
    <row r="13" spans="1:13">
      <c r="A13">
        <v>8</v>
      </c>
      <c r="B13" s="1">
        <f t="shared" si="0"/>
        <v>72.601435568390059</v>
      </c>
      <c r="C13" s="1">
        <f t="shared" si="3"/>
        <v>5.2675213198430697</v>
      </c>
      <c r="D13" s="1">
        <f t="shared" si="1"/>
        <v>2.8990751737593907</v>
      </c>
      <c r="E13" s="1">
        <f t="shared" si="2"/>
        <v>1.0629942303784432</v>
      </c>
      <c r="F13" s="1"/>
      <c r="G13" s="1"/>
      <c r="H13" s="2" t="s">
        <v>91</v>
      </c>
      <c r="I13" s="2">
        <v>0.8</v>
      </c>
      <c r="J13" s="2" t="s">
        <v>97</v>
      </c>
      <c r="K13" s="2">
        <v>1</v>
      </c>
    </row>
    <row r="14" spans="1:13">
      <c r="A14">
        <v>9</v>
      </c>
      <c r="B14" s="1">
        <f t="shared" si="0"/>
        <v>77.511624851472064</v>
      </c>
      <c r="C14" s="1">
        <f t="shared" si="3"/>
        <v>4.9101892830820049</v>
      </c>
      <c r="D14" s="1">
        <f t="shared" si="1"/>
        <v>2.702411055351277</v>
      </c>
      <c r="E14" s="1">
        <f t="shared" si="2"/>
        <v>0.99088405362880172</v>
      </c>
      <c r="F14" s="1"/>
      <c r="G14" s="1"/>
      <c r="H14" s="2" t="s">
        <v>92</v>
      </c>
      <c r="I14" s="2">
        <v>0.9</v>
      </c>
      <c r="J14" s="2" t="s">
        <v>98</v>
      </c>
      <c r="K14" s="2">
        <v>1</v>
      </c>
    </row>
    <row r="15" spans="1:13">
      <c r="A15">
        <v>10</v>
      </c>
      <c r="B15" s="1">
        <f t="shared" si="0"/>
        <v>82.11239386816132</v>
      </c>
      <c r="C15" s="1">
        <f t="shared" si="3"/>
        <v>4.6007690166892559</v>
      </c>
      <c r="D15" s="1">
        <f t="shared" si="1"/>
        <v>2.5321160421772322</v>
      </c>
      <c r="E15" s="1">
        <f t="shared" si="2"/>
        <v>0.92844254879831856</v>
      </c>
      <c r="F15" s="1"/>
      <c r="G15" s="1"/>
      <c r="H15" s="2" t="s">
        <v>93</v>
      </c>
      <c r="I15" s="2">
        <v>0.8</v>
      </c>
      <c r="J15" s="2" t="s">
        <v>99</v>
      </c>
      <c r="K15" s="2">
        <v>1.1000000000000001</v>
      </c>
    </row>
    <row r="16" spans="1:13">
      <c r="A16">
        <v>11</v>
      </c>
      <c r="B16" s="1">
        <f t="shared" si="0"/>
        <v>86.441014131547306</v>
      </c>
      <c r="C16" s="1">
        <f t="shared" si="3"/>
        <v>4.3286202633859858</v>
      </c>
      <c r="D16" s="1">
        <f t="shared" si="1"/>
        <v>2.3823340771192183</v>
      </c>
      <c r="E16" s="1">
        <f t="shared" si="2"/>
        <v>0.87352249494371337</v>
      </c>
      <c r="F16" s="1"/>
      <c r="G16" s="1"/>
      <c r="H16" s="2" t="s">
        <v>94</v>
      </c>
      <c r="I16" s="2">
        <v>0.9</v>
      </c>
      <c r="J16" s="2" t="s">
        <v>100</v>
      </c>
      <c r="K16" s="2">
        <v>1.3</v>
      </c>
    </row>
    <row r="17" spans="1:14">
      <c r="A17">
        <v>12</v>
      </c>
      <c r="B17" s="1">
        <f t="shared" si="0"/>
        <v>90.527280251213156</v>
      </c>
      <c r="C17" s="1">
        <f t="shared" si="3"/>
        <v>4.0862661196658507</v>
      </c>
      <c r="D17" s="1">
        <f t="shared" si="1"/>
        <v>2.2489501117482544</v>
      </c>
      <c r="E17" s="1">
        <f t="shared" si="2"/>
        <v>0.82461504097435989</v>
      </c>
      <c r="F17" s="1"/>
      <c r="G17" s="1"/>
      <c r="H17" s="2" t="s">
        <v>95</v>
      </c>
      <c r="I17" s="2">
        <v>1</v>
      </c>
      <c r="J17" s="2"/>
      <c r="K17" s="2"/>
    </row>
    <row r="18" spans="1:14">
      <c r="A18">
        <v>13</v>
      </c>
      <c r="B18" s="1">
        <f t="shared" si="0"/>
        <v>94.395542214247513</v>
      </c>
      <c r="C18" s="1">
        <f t="shared" si="3"/>
        <v>3.8682619630343567</v>
      </c>
      <c r="D18" s="1">
        <f t="shared" si="1"/>
        <v>2.1289676000712925</v>
      </c>
      <c r="E18" s="1">
        <f t="shared" si="2"/>
        <v>0.78062145335947397</v>
      </c>
      <c r="F18" s="1"/>
      <c r="G18" s="1"/>
    </row>
    <row r="19" spans="1:14">
      <c r="A19">
        <v>14</v>
      </c>
      <c r="B19" s="1">
        <f t="shared" si="0"/>
        <v>98.06606770229628</v>
      </c>
      <c r="C19" s="1">
        <f t="shared" si="3"/>
        <v>3.6705254880487672</v>
      </c>
      <c r="D19" s="1">
        <f t="shared" si="1"/>
        <v>2.0201397718064236</v>
      </c>
      <c r="E19" s="1">
        <f t="shared" si="2"/>
        <v>0.74071791632902195</v>
      </c>
      <c r="F19" s="1"/>
      <c r="G19" s="1"/>
    </row>
    <row r="20" spans="1:14">
      <c r="A20">
        <v>15</v>
      </c>
      <c r="B20" s="1">
        <f t="shared" si="0"/>
        <v>101.55598786970828</v>
      </c>
      <c r="C20" s="1">
        <f t="shared" si="3"/>
        <v>3.4899201674119951</v>
      </c>
      <c r="D20" s="1">
        <f t="shared" si="1"/>
        <v>1.9207403826982048</v>
      </c>
      <c r="E20" s="1">
        <f t="shared" si="2"/>
        <v>0.70427147365600851</v>
      </c>
      <c r="F20" s="1"/>
      <c r="G20" s="1"/>
      <c r="H20" s="9" t="s">
        <v>28</v>
      </c>
      <c r="I20" s="2" t="s">
        <v>33</v>
      </c>
      <c r="J20" s="2" t="s">
        <v>29</v>
      </c>
    </row>
    <row r="21" spans="1:14">
      <c r="A21">
        <v>16</v>
      </c>
      <c r="B21" s="1">
        <f t="shared" si="0"/>
        <v>104.87997354046169</v>
      </c>
      <c r="C21" s="1">
        <f t="shared" si="3"/>
        <v>3.3239856707534159</v>
      </c>
      <c r="D21" s="1">
        <f t="shared" si="1"/>
        <v>1.8294153456412161</v>
      </c>
      <c r="E21" s="1">
        <f t="shared" si="2"/>
        <v>0.67078562673511266</v>
      </c>
      <c r="F21" s="1"/>
      <c r="G21" s="1"/>
      <c r="H21" s="2" t="s">
        <v>14</v>
      </c>
      <c r="I21" s="16">
        <f>AVERAGE(E6:E14)</f>
        <v>1.7379966570696472</v>
      </c>
      <c r="J21" s="16">
        <f>AVERAGE(E6:E12)</f>
        <v>1.9411559470885114</v>
      </c>
    </row>
    <row r="22" spans="1:14">
      <c r="A22">
        <v>17</v>
      </c>
      <c r="B22" s="1">
        <f t="shared" si="0"/>
        <v>108.05073093152042</v>
      </c>
      <c r="C22" s="1">
        <f t="shared" si="3"/>
        <v>3.1707573910587286</v>
      </c>
      <c r="D22" s="1">
        <f t="shared" si="1"/>
        <v>1.7450834038022101</v>
      </c>
      <c r="E22" s="1">
        <f t="shared" si="2"/>
        <v>0.63986391472747695</v>
      </c>
      <c r="F22" s="1"/>
      <c r="G22" s="1"/>
      <c r="I22" s="34"/>
      <c r="J22" s="34"/>
    </row>
    <row r="23" spans="1:14">
      <c r="A23">
        <v>18</v>
      </c>
      <c r="B23" s="1">
        <f t="shared" si="0"/>
        <v>111.07937301164185</v>
      </c>
      <c r="C23" s="1">
        <f t="shared" si="3"/>
        <v>3.0286420801214291</v>
      </c>
      <c r="D23" s="1">
        <f t="shared" si="1"/>
        <v>1.6668676843522707</v>
      </c>
      <c r="E23" s="1">
        <f t="shared" si="2"/>
        <v>0.61118481759583254</v>
      </c>
      <c r="F23" s="1"/>
      <c r="G23" s="1"/>
      <c r="I23" s="34"/>
      <c r="J23" s="34"/>
    </row>
    <row r="24" spans="1:14">
      <c r="A24">
        <v>19</v>
      </c>
      <c r="B24" s="1">
        <f t="shared" si="0"/>
        <v>113.97570298897394</v>
      </c>
      <c r="C24" s="1">
        <f t="shared" si="3"/>
        <v>2.896329977332087</v>
      </c>
      <c r="D24" s="1">
        <f t="shared" si="1"/>
        <v>1.5940473369643058</v>
      </c>
      <c r="E24" s="1">
        <f t="shared" si="2"/>
        <v>0.58448402355357887</v>
      </c>
      <c r="F24" s="1"/>
      <c r="G24" s="1"/>
      <c r="H24" s="10" t="s">
        <v>31</v>
      </c>
      <c r="I24" s="35" t="s">
        <v>15</v>
      </c>
      <c r="J24" s="35" t="s">
        <v>16</v>
      </c>
    </row>
    <row r="25" spans="1:14">
      <c r="A25">
        <v>20</v>
      </c>
      <c r="B25" s="1">
        <f t="shared" si="0"/>
        <v>116.7484343391755</v>
      </c>
      <c r="C25" s="1">
        <f t="shared" si="3"/>
        <v>2.7727313502015676</v>
      </c>
      <c r="D25" s="1">
        <f t="shared" si="1"/>
        <v>1.5260226077477363</v>
      </c>
      <c r="E25" s="1">
        <f t="shared" si="2"/>
        <v>0.55954162284083675</v>
      </c>
      <c r="F25" s="1"/>
      <c r="G25" s="1"/>
      <c r="H25" s="2" t="s">
        <v>18</v>
      </c>
      <c r="I25" s="36">
        <v>1331</v>
      </c>
      <c r="J25" s="36">
        <v>1007</v>
      </c>
    </row>
    <row r="26" spans="1:14">
      <c r="A26">
        <v>21</v>
      </c>
      <c r="B26" s="1">
        <f t="shared" si="0"/>
        <v>119.40536411114837</v>
      </c>
      <c r="C26" s="1">
        <f t="shared" si="3"/>
        <v>2.6569297719728695</v>
      </c>
      <c r="D26" s="1">
        <f t="shared" si="1"/>
        <v>1.4622891247411642</v>
      </c>
      <c r="E26" s="1">
        <f t="shared" si="2"/>
        <v>0.53617267907176025</v>
      </c>
      <c r="F26" s="1"/>
      <c r="G26" s="1"/>
      <c r="H26" s="2" t="s">
        <v>4</v>
      </c>
      <c r="I26" s="36">
        <v>9</v>
      </c>
      <c r="J26" s="36">
        <v>7</v>
      </c>
    </row>
    <row r="27" spans="1:14">
      <c r="A27">
        <v>22</v>
      </c>
      <c r="B27" s="1">
        <f t="shared" si="0"/>
        <v>121.95351123818813</v>
      </c>
      <c r="C27" s="1">
        <f t="shared" si="3"/>
        <v>2.5481471270397549</v>
      </c>
      <c r="D27" s="1">
        <f t="shared" si="1"/>
        <v>1.4024186380146155</v>
      </c>
      <c r="E27" s="1">
        <f t="shared" si="2"/>
        <v>0.51422016727202569</v>
      </c>
      <c r="F27" s="1"/>
      <c r="G27" s="1"/>
      <c r="H27" s="2" t="s">
        <v>17</v>
      </c>
      <c r="I27" s="36">
        <v>14.3</v>
      </c>
      <c r="J27" s="36">
        <v>10.4</v>
      </c>
    </row>
    <row r="28" spans="1:14">
      <c r="A28">
        <v>23</v>
      </c>
      <c r="B28" s="1">
        <f t="shared" si="0"/>
        <v>124.39922823322601</v>
      </c>
      <c r="C28" s="1">
        <f t="shared" si="3"/>
        <v>2.4457169950378841</v>
      </c>
      <c r="D28" s="1">
        <f t="shared" si="1"/>
        <v>1.3460443711250101</v>
      </c>
      <c r="E28" s="1">
        <f t="shared" si="2"/>
        <v>0.49354960274583698</v>
      </c>
      <c r="F28" s="1"/>
      <c r="G28" s="1"/>
      <c r="H28" s="2" t="s">
        <v>22</v>
      </c>
      <c r="I28" s="16">
        <f>I27/I26</f>
        <v>1.588888888888889</v>
      </c>
      <c r="J28" s="16">
        <f>J27/J26</f>
        <v>1.4857142857142858</v>
      </c>
    </row>
    <row r="29" spans="1:14">
      <c r="A29">
        <v>24</v>
      </c>
      <c r="B29" s="1">
        <f t="shared" si="0"/>
        <v>126.74829235909647</v>
      </c>
      <c r="C29" s="1">
        <f t="shared" si="3"/>
        <v>2.3490641258704557</v>
      </c>
      <c r="D29" s="1">
        <f t="shared" si="1"/>
        <v>1.2928497248270707</v>
      </c>
      <c r="E29" s="1">
        <f t="shared" si="2"/>
        <v>0.47404489910325925</v>
      </c>
      <c r="F29" s="1"/>
      <c r="G29" s="1"/>
      <c r="H29" s="4" t="s">
        <v>30</v>
      </c>
      <c r="I29" s="36">
        <f>I28*(1+K9)</f>
        <v>2.0020000000000002</v>
      </c>
      <c r="J29" s="36">
        <f>J28*(1+K9)</f>
        <v>1.8720000000000001</v>
      </c>
    </row>
    <row r="30" spans="1:14">
      <c r="A30">
        <v>25</v>
      </c>
      <c r="B30" s="1">
        <f t="shared" si="0"/>
        <v>129.00598077164963</v>
      </c>
      <c r="C30" s="1">
        <f t="shared" si="3"/>
        <v>2.2576884125531649</v>
      </c>
      <c r="D30" s="1">
        <f t="shared" si="1"/>
        <v>1.2425594562400604</v>
      </c>
      <c r="E30" s="1">
        <f t="shared" si="2"/>
        <v>0.45560513395468877</v>
      </c>
      <c r="G30" s="1"/>
      <c r="H30" s="2" t="s">
        <v>36</v>
      </c>
      <c r="I30" s="822">
        <f>(I29*I25+J29*J25)/SUM(I25:J25)</f>
        <v>1.9460076988879387</v>
      </c>
      <c r="J30" s="822"/>
    </row>
    <row r="31" spans="1:14">
      <c r="A31">
        <v>26</v>
      </c>
      <c r="B31" s="1">
        <f t="shared" si="0"/>
        <v>131.17713300464786</v>
      </c>
      <c r="C31" s="1">
        <f t="shared" si="3"/>
        <v>2.1711522329982245</v>
      </c>
      <c r="D31" s="1">
        <f t="shared" si="1"/>
        <v>1.1949327121707667</v>
      </c>
      <c r="E31" s="1">
        <f t="shared" si="2"/>
        <v>0.43814199446261443</v>
      </c>
      <c r="G31" s="1"/>
      <c r="I31" s="34"/>
      <c r="J31" s="34"/>
    </row>
    <row r="32" spans="1:14">
      <c r="A32">
        <v>27</v>
      </c>
      <c r="B32" s="1">
        <f t="shared" si="0"/>
        <v>133.26620335272247</v>
      </c>
      <c r="C32" s="1">
        <f t="shared" si="3"/>
        <v>2.089070348074614</v>
      </c>
      <c r="D32" s="1">
        <f t="shared" si="1"/>
        <v>1.149757469329129</v>
      </c>
      <c r="E32" s="1">
        <f t="shared" si="2"/>
        <v>0.421577738754014</v>
      </c>
      <c r="F32" s="26"/>
      <c r="G32" s="1"/>
      <c r="I32" s="34"/>
      <c r="J32" s="34"/>
      <c r="M32">
        <v>20</v>
      </c>
      <c r="N32" t="s">
        <v>54</v>
      </c>
    </row>
    <row r="33" spans="1:14">
      <c r="A33">
        <v>28</v>
      </c>
      <c r="B33" s="1">
        <f t="shared" si="0"/>
        <v>135.27730511514775</v>
      </c>
      <c r="C33" s="1">
        <f t="shared" si="3"/>
        <v>2.0111017624252838</v>
      </c>
      <c r="D33" s="1">
        <f t="shared" si="1"/>
        <v>1.1068460547824786</v>
      </c>
      <c r="E33" s="1">
        <f t="shared" si="2"/>
        <v>0.40584355342024209</v>
      </c>
      <c r="G33" s="1"/>
      <c r="H33" s="11" t="s">
        <v>32</v>
      </c>
      <c r="I33" s="36"/>
      <c r="J33" s="34"/>
      <c r="M33">
        <f>M32*1.63</f>
        <v>32.599999999999994</v>
      </c>
      <c r="N33" t="s">
        <v>55</v>
      </c>
    </row>
    <row r="34" spans="1:14">
      <c r="A34">
        <v>29</v>
      </c>
      <c r="B34" s="1">
        <f t="shared" si="0"/>
        <v>137.21424822396176</v>
      </c>
      <c r="C34" s="1">
        <f t="shared" si="3"/>
        <v>1.9369431088140061</v>
      </c>
      <c r="D34" s="1">
        <f t="shared" si="1"/>
        <v>1.0660315049117468</v>
      </c>
      <c r="E34" s="1">
        <f t="shared" si="2"/>
        <v>0.39087821846764048</v>
      </c>
      <c r="G34" s="1"/>
      <c r="H34" s="2" t="s">
        <v>19</v>
      </c>
      <c r="I34" s="36">
        <v>2251</v>
      </c>
      <c r="J34" s="34"/>
      <c r="M34">
        <f>M33*1000/100000</f>
        <v>0.3259999999999999</v>
      </c>
    </row>
    <row r="35" spans="1:14">
      <c r="A35">
        <v>30</v>
      </c>
      <c r="B35" s="1">
        <f t="shared" si="0"/>
        <v>139.08057145094162</v>
      </c>
      <c r="C35" s="1">
        <f t="shared" si="3"/>
        <v>1.8663232269798584</v>
      </c>
      <c r="D35" s="1">
        <f t="shared" si="1"/>
        <v>1.0271645817864505</v>
      </c>
      <c r="E35" s="1">
        <f t="shared" si="2"/>
        <v>0.37662701332169851</v>
      </c>
      <c r="G35" s="1"/>
      <c r="H35" s="2" t="s">
        <v>20</v>
      </c>
      <c r="I35" s="16">
        <f>I34*44/12/10000</f>
        <v>0.82536666666666658</v>
      </c>
      <c r="J35" s="34"/>
    </row>
    <row r="36" spans="1:14">
      <c r="A36">
        <v>31</v>
      </c>
      <c r="B36" s="1">
        <f t="shared" si="0"/>
        <v>140.87957013870405</v>
      </c>
      <c r="C36" s="1">
        <f t="shared" si="3"/>
        <v>1.7989986877624347</v>
      </c>
      <c r="D36" s="1">
        <f t="shared" si="1"/>
        <v>0.99011130978643558</v>
      </c>
      <c r="E36" s="1">
        <f t="shared" si="2"/>
        <v>0.36304081358835966</v>
      </c>
      <c r="G36" s="1"/>
      <c r="I36" s="34"/>
      <c r="J36" s="34"/>
    </row>
    <row r="37" spans="1:14">
      <c r="A37">
        <v>32</v>
      </c>
      <c r="B37" s="1">
        <f t="shared" si="0"/>
        <v>142.61432021042862</v>
      </c>
      <c r="C37" s="1">
        <f t="shared" si="3"/>
        <v>1.7347500717245623</v>
      </c>
      <c r="D37" s="1">
        <f t="shared" si="1"/>
        <v>0.95475092747490398</v>
      </c>
      <c r="E37" s="1">
        <f t="shared" si="2"/>
        <v>0.35007534007413149</v>
      </c>
      <c r="G37" s="1"/>
    </row>
    <row r="38" spans="1:14" ht="15" thickBot="1">
      <c r="A38">
        <v>33</v>
      </c>
      <c r="B38" s="1">
        <f t="shared" si="0"/>
        <v>144.28769906526898</v>
      </c>
      <c r="C38" s="1">
        <f t="shared" si="3"/>
        <v>1.6733788548403652</v>
      </c>
      <c r="D38" s="1">
        <f t="shared" si="1"/>
        <v>0.92097417358078204</v>
      </c>
      <c r="E38" s="1">
        <f t="shared" si="2"/>
        <v>0.33769053031295343</v>
      </c>
      <c r="G38" s="1"/>
    </row>
    <row r="39" spans="1:14" ht="15" thickBot="1">
      <c r="A39">
        <v>34</v>
      </c>
      <c r="B39" s="1">
        <f t="shared" si="0"/>
        <v>145.90240385155312</v>
      </c>
      <c r="C39" s="1">
        <f t="shared" si="3"/>
        <v>1.6147047862841362</v>
      </c>
      <c r="D39" s="1">
        <f t="shared" si="1"/>
        <v>0.88868184381762738</v>
      </c>
      <c r="E39" s="1">
        <f t="shared" si="2"/>
        <v>0.32585000939979669</v>
      </c>
      <c r="H39" s="27" t="s">
        <v>40</v>
      </c>
      <c r="I39" s="28" t="s">
        <v>47</v>
      </c>
      <c r="J39" s="29" t="s">
        <v>48</v>
      </c>
    </row>
    <row r="40" spans="1:14">
      <c r="A40">
        <v>35</v>
      </c>
      <c r="B40" s="1">
        <f t="shared" si="0"/>
        <v>147.46096751947331</v>
      </c>
      <c r="C40" s="1">
        <f t="shared" si="3"/>
        <v>1.5585636679201968</v>
      </c>
      <c r="D40" s="1">
        <f t="shared" si="1"/>
        <v>0.85778356878590289</v>
      </c>
      <c r="E40" s="1">
        <f t="shared" si="2"/>
        <v>0.31452064188816442</v>
      </c>
      <c r="H40" s="818" t="s">
        <v>37</v>
      </c>
      <c r="I40" s="19">
        <v>7695</v>
      </c>
      <c r="J40" s="21" t="s">
        <v>38</v>
      </c>
    </row>
    <row r="41" spans="1:14" ht="15" thickBot="1">
      <c r="A41">
        <v>36</v>
      </c>
      <c r="B41" s="1">
        <f t="shared" si="0"/>
        <v>148.96577298332372</v>
      </c>
      <c r="C41" s="1">
        <f t="shared" si="3"/>
        <v>1.5048054638504027</v>
      </c>
      <c r="D41" s="1">
        <f t="shared" si="1"/>
        <v>0.82819677352841836</v>
      </c>
      <c r="E41" s="1">
        <f t="shared" si="2"/>
        <v>0.30367215029375338</v>
      </c>
      <c r="G41" s="25"/>
      <c r="H41" s="819"/>
      <c r="I41" s="13">
        <f>I40/1000</f>
        <v>7.6950000000000003</v>
      </c>
      <c r="J41" s="22" t="s">
        <v>39</v>
      </c>
    </row>
    <row r="42" spans="1:14">
      <c r="A42">
        <v>37</v>
      </c>
      <c r="B42" s="1">
        <f t="shared" si="0"/>
        <v>150.41906566614929</v>
      </c>
      <c r="C42" s="1">
        <f t="shared" si="3"/>
        <v>1.4532926828255768</v>
      </c>
      <c r="D42" s="1">
        <f t="shared" si="1"/>
        <v>0.79984578726134703</v>
      </c>
      <c r="E42" s="1">
        <f t="shared" si="2"/>
        <v>0.2932767886624939</v>
      </c>
      <c r="G42" s="787" t="s">
        <v>82</v>
      </c>
      <c r="H42" s="19" t="s">
        <v>43</v>
      </c>
      <c r="I42" s="23">
        <f>E13</f>
        <v>1.0629942303784432</v>
      </c>
      <c r="J42" s="21" t="s">
        <v>44</v>
      </c>
    </row>
    <row r="43" spans="1:14">
      <c r="A43">
        <v>38</v>
      </c>
      <c r="B43" s="1">
        <f t="shared" si="0"/>
        <v>151.82296465369234</v>
      </c>
      <c r="C43" s="1">
        <f t="shared" si="3"/>
        <v>1.4038989875430445</v>
      </c>
      <c r="D43" s="1">
        <f t="shared" si="1"/>
        <v>0.77266107797609029</v>
      </c>
      <c r="E43" s="1">
        <f t="shared" si="2"/>
        <v>0.2833090619245664</v>
      </c>
      <c r="G43" s="784"/>
      <c r="H43" s="2" t="s">
        <v>41</v>
      </c>
      <c r="I43" s="2">
        <v>16700</v>
      </c>
      <c r="J43" s="24" t="s">
        <v>42</v>
      </c>
    </row>
    <row r="44" spans="1:14" ht="15" thickBot="1">
      <c r="A44">
        <v>39</v>
      </c>
      <c r="B44" s="1">
        <f t="shared" si="0"/>
        <v>153.17947264732226</v>
      </c>
      <c r="C44" s="1">
        <f t="shared" si="3"/>
        <v>1.3565079936299185</v>
      </c>
      <c r="D44" s="1">
        <f t="shared" si="1"/>
        <v>0.74657859143811089</v>
      </c>
      <c r="E44" s="1">
        <f t="shared" si="2"/>
        <v>0.27374548352730732</v>
      </c>
      <c r="G44" s="786"/>
      <c r="H44" s="30" t="s">
        <v>45</v>
      </c>
      <c r="I44" s="31">
        <f>I43*I42*I41</f>
        <v>136601.66806612743</v>
      </c>
      <c r="J44" s="32" t="s">
        <v>46</v>
      </c>
    </row>
    <row r="45" spans="1:14">
      <c r="A45">
        <v>40</v>
      </c>
      <c r="B45" s="1">
        <f t="shared" si="0"/>
        <v>154.49048487535336</v>
      </c>
      <c r="C45" s="1">
        <f t="shared" si="3"/>
        <v>1.3110122280311032</v>
      </c>
      <c r="D45" s="1">
        <f t="shared" si="1"/>
        <v>0.72153917791702216</v>
      </c>
      <c r="E45" s="1">
        <f t="shared" si="2"/>
        <v>0.26456436523624144</v>
      </c>
      <c r="G45" s="787" t="s">
        <v>85</v>
      </c>
      <c r="H45" s="18" t="s">
        <v>83</v>
      </c>
      <c r="I45" s="19">
        <f>I29*I25+J29*J25</f>
        <v>4549.7660000000005</v>
      </c>
      <c r="J45" s="20" t="s">
        <v>84</v>
      </c>
    </row>
    <row r="46" spans="1:14" ht="15" thickBot="1">
      <c r="A46">
        <v>41</v>
      </c>
      <c r="B46" s="1">
        <f t="shared" si="0"/>
        <v>155.75779709735752</v>
      </c>
      <c r="C46" s="1">
        <f t="shared" si="3"/>
        <v>1.2673122220041648</v>
      </c>
      <c r="D46" s="1">
        <f t="shared" si="1"/>
        <v>0.69748809299998815</v>
      </c>
      <c r="E46" s="1">
        <f t="shared" si="2"/>
        <v>0.25574563409999562</v>
      </c>
      <c r="G46" s="786"/>
      <c r="H46" s="30" t="s">
        <v>45</v>
      </c>
      <c r="I46" s="31">
        <f>I45*I41</f>
        <v>35010.449370000002</v>
      </c>
      <c r="J46" s="33" t="s">
        <v>81</v>
      </c>
    </row>
    <row r="47" spans="1:14">
      <c r="A47">
        <v>42</v>
      </c>
      <c r="B47" s="1">
        <f t="shared" si="0"/>
        <v>156.98311281566748</v>
      </c>
      <c r="C47" s="1">
        <f t="shared" si="3"/>
        <v>1.2253157183099574</v>
      </c>
      <c r="D47" s="1">
        <f t="shared" si="1"/>
        <v>0.67437456125481454</v>
      </c>
      <c r="E47" s="1">
        <f t="shared" si="2"/>
        <v>0.24727067246009862</v>
      </c>
    </row>
    <row r="48" spans="1:14">
      <c r="A48">
        <v>43</v>
      </c>
      <c r="B48" s="1">
        <f t="shared" si="0"/>
        <v>158.1680497913724</v>
      </c>
      <c r="C48" s="1">
        <f t="shared" si="3"/>
        <v>1.1849369757049146</v>
      </c>
      <c r="D48" s="1">
        <f t="shared" si="1"/>
        <v>0.65215139344476247</v>
      </c>
      <c r="E48" s="1">
        <f t="shared" si="2"/>
        <v>0.23912217759641285</v>
      </c>
    </row>
    <row r="49" spans="1:5">
      <c r="A49">
        <v>44</v>
      </c>
      <c r="B49" s="1">
        <f t="shared" si="0"/>
        <v>159.31414594805904</v>
      </c>
      <c r="C49" s="1">
        <f t="shared" si="3"/>
        <v>1.1460961566866388</v>
      </c>
      <c r="D49" s="1">
        <f t="shared" si="1"/>
        <v>0.63077464956331197</v>
      </c>
      <c r="E49" s="1">
        <f t="shared" si="2"/>
        <v>0.23128403817321438</v>
      </c>
    </row>
    <row r="50" spans="1:5">
      <c r="A50">
        <v>45</v>
      </c>
      <c r="B50" s="1">
        <f t="shared" si="0"/>
        <v>160.42286473481283</v>
      </c>
      <c r="C50" s="1">
        <f t="shared" si="3"/>
        <v>1.1087187867537978</v>
      </c>
      <c r="D50" s="1">
        <f t="shared" si="1"/>
        <v>0.61020334122811415</v>
      </c>
      <c r="E50" s="1">
        <f t="shared" si="2"/>
        <v>0.2237412251169752</v>
      </c>
    </row>
    <row r="51" spans="1:5">
      <c r="A51">
        <v>46</v>
      </c>
      <c r="B51" s="1">
        <f t="shared" si="0"/>
        <v>161.49560001014316</v>
      </c>
      <c r="C51" s="1">
        <f t="shared" si="3"/>
        <v>1.0727352753303308</v>
      </c>
      <c r="D51" s="1">
        <f t="shared" si="1"/>
        <v>0.59039916801300341</v>
      </c>
      <c r="E51" s="1">
        <f t="shared" si="2"/>
        <v>0.21647969493810124</v>
      </c>
    </row>
    <row r="52" spans="1:5">
      <c r="A52">
        <v>47</v>
      </c>
      <c r="B52" s="1">
        <f t="shared" si="0"/>
        <v>162.53368050019196</v>
      </c>
      <c r="C52" s="1">
        <f t="shared" si="3"/>
        <v>1.0380804900487988</v>
      </c>
      <c r="D52" s="1">
        <f t="shared" si="1"/>
        <v>0.57132628314717726</v>
      </c>
      <c r="E52" s="1">
        <f t="shared" si="2"/>
        <v>0.20948630382063166</v>
      </c>
    </row>
    <row r="53" spans="1:5">
      <c r="A53">
        <v>48</v>
      </c>
      <c r="B53" s="1">
        <f t="shared" si="0"/>
        <v>163.5383738775611</v>
      </c>
      <c r="C53" s="1">
        <f t="shared" si="3"/>
        <v>1.0046933773691364</v>
      </c>
      <c r="D53" s="1">
        <f t="shared" si="1"/>
        <v>0.55295108471589682</v>
      </c>
      <c r="E53" s="1">
        <f t="shared" si="2"/>
        <v>0.2027487310624955</v>
      </c>
    </row>
    <row r="54" spans="1:5">
      <c r="A54">
        <v>49</v>
      </c>
      <c r="B54" s="1">
        <f t="shared" si="0"/>
        <v>164.51089050112222</v>
      </c>
      <c r="C54" s="1">
        <f t="shared" si="3"/>
        <v>0.97251662356111979</v>
      </c>
      <c r="D54" s="1">
        <f t="shared" si="1"/>
        <v>0.53524202907608631</v>
      </c>
      <c r="E54" s="1">
        <f t="shared" si="2"/>
        <v>0.19625541066123164</v>
      </c>
    </row>
    <row r="55" spans="1:5">
      <c r="A55">
        <v>50</v>
      </c>
      <c r="B55" s="1">
        <f t="shared" si="0"/>
        <v>165.45238685208574</v>
      </c>
      <c r="C55" s="1">
        <f t="shared" si="3"/>
        <v>0.94149635096351858</v>
      </c>
      <c r="D55" s="1">
        <f t="shared" si="1"/>
        <v>0.51816946368708972</v>
      </c>
      <c r="E55" s="1">
        <f t="shared" si="2"/>
        <v>0.18999547001859954</v>
      </c>
    </row>
    <row r="56" spans="1:5">
      <c r="A56">
        <v>51</v>
      </c>
      <c r="B56" s="1">
        <f t="shared" si="0"/>
        <v>166.36396869724882</v>
      </c>
      <c r="C56" s="1">
        <f t="shared" si="3"/>
        <v>0.91158184516308438</v>
      </c>
      <c r="D56" s="1">
        <f t="shared" si="1"/>
        <v>0.50170547695871637</v>
      </c>
      <c r="E56" s="1">
        <f t="shared" si="2"/>
        <v>0.18395867488486267</v>
      </c>
    </row>
    <row r="57" spans="1:5">
      <c r="A57">
        <v>52</v>
      </c>
      <c r="B57" s="1">
        <f t="shared" si="0"/>
        <v>167.24669400660434</v>
      </c>
      <c r="C57" s="1">
        <f t="shared" si="3"/>
        <v>0.8827253093555214</v>
      </c>
      <c r="D57" s="1">
        <f t="shared" si="1"/>
        <v>0.48582376305937952</v>
      </c>
      <c r="E57" s="1">
        <f t="shared" si="2"/>
        <v>0.17813537978843916</v>
      </c>
    </row>
    <row r="58" spans="1:5">
      <c r="A58">
        <v>53</v>
      </c>
      <c r="B58" s="1">
        <f t="shared" si="0"/>
        <v>168.10157564927161</v>
      </c>
      <c r="C58" s="1">
        <f t="shared" si="3"/>
        <v>0.85488164266726585</v>
      </c>
      <c r="D58" s="1">
        <f t="shared" si="1"/>
        <v>0.47049949991149775</v>
      </c>
      <c r="E58" s="1">
        <f t="shared" si="2"/>
        <v>0.17251648330088251</v>
      </c>
    </row>
    <row r="59" spans="1:5">
      <c r="A59">
        <v>54</v>
      </c>
      <c r="B59" s="1">
        <f t="shared" si="0"/>
        <v>168.92958388892683</v>
      </c>
      <c r="C59" s="1">
        <f t="shared" si="3"/>
        <v>0.82800823965521886</v>
      </c>
      <c r="D59" s="1">
        <f t="shared" si="1"/>
        <v>0.45570923884256348</v>
      </c>
      <c r="E59" s="1">
        <f t="shared" si="2"/>
        <v>0.16709338757560657</v>
      </c>
    </row>
    <row r="60" spans="1:5">
      <c r="A60">
        <v>55</v>
      </c>
      <c r="B60" s="1">
        <f t="shared" si="0"/>
        <v>169.73164869749945</v>
      </c>
      <c r="C60" s="1">
        <f t="shared" si="3"/>
        <v>0.80206480857262363</v>
      </c>
      <c r="D60" s="1">
        <f t="shared" si="1"/>
        <v>0.44143080456449774</v>
      </c>
      <c r="E60" s="1">
        <f t="shared" si="2"/>
        <v>0.16185796167364916</v>
      </c>
    </row>
    <row r="61" spans="1:5">
      <c r="A61">
        <v>56</v>
      </c>
      <c r="B61" s="1">
        <f t="shared" si="0"/>
        <v>170.50866190380506</v>
      </c>
      <c r="C61" s="1">
        <f t="shared" si="3"/>
        <v>0.77701320630561099</v>
      </c>
      <c r="D61" s="1">
        <f t="shared" si="1"/>
        <v>0.42764320432800645</v>
      </c>
      <c r="E61" s="1">
        <f t="shared" si="2"/>
        <v>0.15680250825360237</v>
      </c>
    </row>
    <row r="62" spans="1:5">
      <c r="A62">
        <v>57</v>
      </c>
      <c r="B62" s="1">
        <f t="shared" si="0"/>
        <v>171.26147919195725</v>
      </c>
      <c r="C62" s="1">
        <f t="shared" si="3"/>
        <v>0.75281728815218685</v>
      </c>
      <c r="D62" s="1">
        <f t="shared" si="1"/>
        <v>0.41432654524574275</v>
      </c>
      <c r="E62" s="1">
        <f t="shared" si="2"/>
        <v>0.15191973325677233</v>
      </c>
    </row>
    <row r="63" spans="1:5">
      <c r="A63">
        <v>58</v>
      </c>
      <c r="B63" s="1">
        <f t="shared" si="0"/>
        <v>171.99092196280611</v>
      </c>
      <c r="C63" s="1">
        <f t="shared" si="3"/>
        <v>0.72944277084886266</v>
      </c>
      <c r="D63" s="1">
        <f t="shared" si="1"/>
        <v>0.4014619589065469</v>
      </c>
      <c r="E63" s="1">
        <f t="shared" si="2"/>
        <v>0.14720271826573386</v>
      </c>
    </row>
    <row r="64" spans="1:5">
      <c r="A64">
        <v>59</v>
      </c>
      <c r="B64" s="1">
        <f t="shared" si="0"/>
        <v>172.69777907025053</v>
      </c>
      <c r="C64" s="1">
        <f t="shared" si="3"/>
        <v>0.70685710744442076</v>
      </c>
      <c r="D64" s="1">
        <f t="shared" si="1"/>
        <v>0.38903153250997097</v>
      </c>
      <c r="E64" s="1">
        <f t="shared" si="2"/>
        <v>0.14264489525365603</v>
      </c>
    </row>
    <row r="65" spans="1:5">
      <c r="A65">
        <v>60</v>
      </c>
      <c r="B65" s="1">
        <f t="shared" si="0"/>
        <v>173.38280844304495</v>
      </c>
      <c r="C65" s="1">
        <f t="shared" si="3"/>
        <v>0.68502937279441767</v>
      </c>
      <c r="D65" s="1">
        <f t="shared" si="1"/>
        <v>0.37701824584611804</v>
      </c>
      <c r="E65" s="1">
        <f t="shared" si="2"/>
        <v>0.13824002347690995</v>
      </c>
    </row>
    <row r="66" spans="1:5">
      <c r="A66">
        <v>61</v>
      </c>
      <c r="B66" s="1">
        <f t="shared" si="0"/>
        <v>174.04673860163723</v>
      </c>
      <c r="C66" s="1">
        <f t="shared" si="3"/>
        <v>0.66393015859227944</v>
      </c>
      <c r="D66" s="1">
        <f t="shared" si="1"/>
        <v>0.36540591352411567</v>
      </c>
      <c r="E66" s="1">
        <f t="shared" si="2"/>
        <v>0.13398216829217574</v>
      </c>
    </row>
    <row r="67" spans="1:5">
      <c r="A67">
        <v>62</v>
      </c>
      <c r="B67" s="1">
        <f t="shared" si="0"/>
        <v>174.69027007862275</v>
      </c>
      <c r="C67" s="1">
        <f t="shared" si="3"/>
        <v>0.64353147698551538</v>
      </c>
      <c r="D67" s="1">
        <f t="shared" si="1"/>
        <v>0.35417913192556411</v>
      </c>
      <c r="E67" s="1">
        <f t="shared" si="2"/>
        <v>0.12986568170604015</v>
      </c>
    </row>
    <row r="68" spans="1:5">
      <c r="A68">
        <v>63</v>
      </c>
      <c r="B68" s="1">
        <f t="shared" si="0"/>
        <v>175.31407675055317</v>
      </c>
      <c r="C68" s="1">
        <f t="shared" si="3"/>
        <v>0.62380667193042427</v>
      </c>
      <c r="D68" s="1">
        <f t="shared" si="1"/>
        <v>0.34332323041700374</v>
      </c>
      <c r="E68" s="1">
        <f t="shared" si="2"/>
        <v>0.12588518448623473</v>
      </c>
    </row>
    <row r="69" spans="1:5">
      <c r="A69">
        <v>64</v>
      </c>
      <c r="B69" s="1">
        <f t="shared" si="0"/>
        <v>175.91880708809214</v>
      </c>
      <c r="C69" s="1">
        <f t="shared" si="3"/>
        <v>0.60473033753896743</v>
      </c>
      <c r="D69" s="1">
        <f t="shared" si="1"/>
        <v>0.33282422641064646</v>
      </c>
      <c r="E69" s="1">
        <f t="shared" si="2"/>
        <v>0.1220355496839037</v>
      </c>
    </row>
    <row r="70" spans="1:5">
      <c r="A70">
        <v>65</v>
      </c>
      <c r="B70" s="1">
        <f t="shared" si="0"/>
        <v>176.50508533084445</v>
      </c>
      <c r="C70" s="1">
        <f t="shared" si="3"/>
        <v>0.58627824275231433</v>
      </c>
      <c r="D70" s="1">
        <f t="shared" si="1"/>
        <v>0.32266878390710568</v>
      </c>
      <c r="E70" s="1">
        <f t="shared" si="2"/>
        <v>0.11831188743260541</v>
      </c>
    </row>
    <row r="71" spans="1:5">
      <c r="A71">
        <v>66</v>
      </c>
      <c r="B71" s="1">
        <f t="shared" ref="B71:B105" si="4">$J$5*(1-$I$5*EXP(-$K$5*A71))^(1/1-$L$5)</f>
        <v>177.07351259259485</v>
      </c>
      <c r="C71" s="1">
        <f t="shared" si="3"/>
        <v>0.5684272617504007</v>
      </c>
      <c r="D71" s="1">
        <f t="shared" ref="D71:D105" si="5">C71*$I$9*(1+$K$9)*$L$9*$M$9*$I$17</f>
        <v>0.31284417519504448</v>
      </c>
      <c r="E71" s="1">
        <f t="shared" ref="E71:E105" si="6">D71*44/12/10000*1000</f>
        <v>0.11470953090484966</v>
      </c>
    </row>
    <row r="72" spans="1:5">
      <c r="A72">
        <v>67</v>
      </c>
      <c r="B72" s="1">
        <f t="shared" si="4"/>
        <v>177.62466790216467</v>
      </c>
      <c r="C72" s="1">
        <f t="shared" ref="C72:C105" si="7">B72-B71</f>
        <v>0.55115530956982184</v>
      </c>
      <c r="D72" s="1">
        <f t="shared" si="5"/>
        <v>0.30333824541732374</v>
      </c>
      <c r="E72" s="1">
        <f t="shared" si="6"/>
        <v>0.11122402331968537</v>
      </c>
    </row>
    <row r="73" spans="1:5">
      <c r="A73">
        <v>68</v>
      </c>
      <c r="B73" s="1">
        <f t="shared" si="4"/>
        <v>178.15910918462404</v>
      </c>
      <c r="C73" s="1">
        <f t="shared" si="7"/>
        <v>0.53444128245936895</v>
      </c>
      <c r="D73" s="1">
        <f t="shared" si="5"/>
        <v>0.29413937974459797</v>
      </c>
      <c r="E73" s="1">
        <f t="shared" si="6"/>
        <v>0.10785110590635258</v>
      </c>
    </row>
    <row r="74" spans="1:5">
      <c r="A74">
        <v>69</v>
      </c>
      <c r="B74" s="1">
        <f t="shared" si="4"/>
        <v>178.67737418717508</v>
      </c>
      <c r="C74" s="1">
        <f t="shared" si="7"/>
        <v>0.51826500255103269</v>
      </c>
      <c r="D74" s="1">
        <f t="shared" si="5"/>
        <v>0.28523647292400678</v>
      </c>
      <c r="E74" s="1">
        <f t="shared" si="6"/>
        <v>0.10458670673880248</v>
      </c>
    </row>
    <row r="75" spans="1:5">
      <c r="A75">
        <v>70</v>
      </c>
      <c r="B75" s="1">
        <f t="shared" si="4"/>
        <v>179.17998135364445</v>
      </c>
      <c r="C75" s="1">
        <f t="shared" si="7"/>
        <v>0.50260716646937453</v>
      </c>
      <c r="D75" s="1">
        <f t="shared" si="5"/>
        <v>0.27661890099541669</v>
      </c>
      <c r="E75" s="1">
        <f t="shared" si="6"/>
        <v>0.10142693036498611</v>
      </c>
    </row>
    <row r="76" spans="1:5">
      <c r="A76">
        <v>71</v>
      </c>
      <c r="B76" s="1">
        <f t="shared" si="4"/>
        <v>179.66743065118308</v>
      </c>
      <c r="C76" s="1">
        <f t="shared" si="7"/>
        <v>0.48744929753863175</v>
      </c>
      <c r="D76" s="1">
        <f t="shared" si="5"/>
        <v>0.26827649498774164</v>
      </c>
      <c r="E76" s="1">
        <f t="shared" si="6"/>
        <v>9.8368048162171942E-2</v>
      </c>
    </row>
    <row r="77" spans="1:5">
      <c r="A77">
        <v>72</v>
      </c>
      <c r="B77" s="1">
        <f t="shared" si="4"/>
        <v>180.1402043524661</v>
      </c>
      <c r="C77" s="1">
        <f t="shared" si="7"/>
        <v>0.47277370128301754</v>
      </c>
      <c r="D77" s="1">
        <f t="shared" si="5"/>
        <v>0.26019951642773176</v>
      </c>
      <c r="E77" s="1">
        <f t="shared" si="6"/>
        <v>9.5406489356834975E-2</v>
      </c>
    </row>
    <row r="78" spans="1:5">
      <c r="A78">
        <v>73</v>
      </c>
      <c r="B78" s="1">
        <f t="shared" si="4"/>
        <v>180.59876777641065</v>
      </c>
      <c r="C78" s="1">
        <f t="shared" si="7"/>
        <v>0.45856342394455396</v>
      </c>
      <c r="D78" s="1">
        <f t="shared" si="5"/>
        <v>0.25237863450951625</v>
      </c>
      <c r="E78" s="1">
        <f t="shared" si="6"/>
        <v>9.2538832653489292E-2</v>
      </c>
    </row>
    <row r="79" spans="1:5">
      <c r="A79">
        <v>74</v>
      </c>
      <c r="B79" s="1">
        <f t="shared" si="4"/>
        <v>181.04356999018012</v>
      </c>
      <c r="C79" s="1">
        <f t="shared" si="7"/>
        <v>0.44480221376946361</v>
      </c>
      <c r="D79" s="1">
        <f t="shared" si="5"/>
        <v>0.24480490478787212</v>
      </c>
      <c r="E79" s="1">
        <f t="shared" si="6"/>
        <v>8.9761798422219777E-2</v>
      </c>
    </row>
    <row r="80" spans="1:5">
      <c r="A80">
        <v>75</v>
      </c>
      <c r="B80" s="1">
        <f t="shared" si="4"/>
        <v>181.47504447502018</v>
      </c>
      <c r="C80" s="1">
        <f t="shared" si="7"/>
        <v>0.43147448484006645</v>
      </c>
      <c r="D80" s="1">
        <f t="shared" si="5"/>
        <v>0.2374697492724577</v>
      </c>
      <c r="E80" s="1">
        <f t="shared" si="6"/>
        <v>8.7072241399901162E-2</v>
      </c>
    </row>
    <row r="81" spans="1:5">
      <c r="A81">
        <v>76</v>
      </c>
      <c r="B81" s="1">
        <f t="shared" si="4"/>
        <v>181.89360975826676</v>
      </c>
      <c r="C81" s="1">
        <f t="shared" si="7"/>
        <v>0.41856528324657916</v>
      </c>
      <c r="D81" s="1">
        <f t="shared" si="5"/>
        <v>0.23036493780985329</v>
      </c>
      <c r="E81" s="1">
        <f t="shared" si="6"/>
        <v>8.446714386361287E-2</v>
      </c>
    </row>
    <row r="82" spans="1:5">
      <c r="A82">
        <v>77</v>
      </c>
      <c r="B82" s="1">
        <f t="shared" si="4"/>
        <v>182.29967001368345</v>
      </c>
      <c r="C82" s="1">
        <f t="shared" si="7"/>
        <v>0.40606025541669055</v>
      </c>
      <c r="D82" s="1">
        <f t="shared" si="5"/>
        <v>0.22348257065317312</v>
      </c>
      <c r="E82" s="1">
        <f t="shared" si="6"/>
        <v>8.1943609239496812E-2</v>
      </c>
    </row>
    <row r="83" spans="1:5">
      <c r="A83">
        <v>78</v>
      </c>
      <c r="B83" s="1">
        <f t="shared" si="4"/>
        <v>182.69361563211768</v>
      </c>
      <c r="C83" s="1">
        <f t="shared" si="7"/>
        <v>0.39394561843423048</v>
      </c>
      <c r="D83" s="1">
        <f t="shared" si="5"/>
        <v>0.21681506212641055</v>
      </c>
      <c r="E83" s="1">
        <f t="shared" si="6"/>
        <v>7.9498856113017199E-2</v>
      </c>
    </row>
    <row r="84" spans="1:5">
      <c r="A84">
        <v>79</v>
      </c>
      <c r="B84" s="1">
        <f t="shared" si="4"/>
        <v>183.07582376431208</v>
      </c>
      <c r="C84" s="1">
        <f t="shared" si="7"/>
        <v>0.38220813219439265</v>
      </c>
      <c r="D84" s="1">
        <f t="shared" si="5"/>
        <v>0.21035512529956349</v>
      </c>
      <c r="E84" s="1">
        <f t="shared" si="6"/>
        <v>7.713021260983996E-2</v>
      </c>
    </row>
    <row r="85" spans="1:5">
      <c r="A85">
        <v>80</v>
      </c>
      <c r="B85" s="1">
        <f t="shared" si="4"/>
        <v>183.44665883757079</v>
      </c>
      <c r="C85" s="1">
        <f t="shared" si="7"/>
        <v>0.37083507325871778</v>
      </c>
      <c r="D85" s="1">
        <f t="shared" si="5"/>
        <v>0.20409575759925397</v>
      </c>
      <c r="E85" s="1">
        <f t="shared" si="6"/>
        <v>7.4835111119726461E-2</v>
      </c>
    </row>
    <row r="86" spans="1:5">
      <c r="A86">
        <v>81</v>
      </c>
      <c r="B86" s="1">
        <f t="shared" si="4"/>
        <v>183.80647304785234</v>
      </c>
      <c r="C86" s="1">
        <f t="shared" si="7"/>
        <v>0.35981421028154159</v>
      </c>
      <c r="D86" s="1">
        <f t="shared" si="5"/>
        <v>0.1980302272842315</v>
      </c>
      <c r="E86" s="1">
        <f t="shared" si="6"/>
        <v>7.2611083337551549E-2</v>
      </c>
    </row>
    <row r="87" spans="1:5">
      <c r="A87">
        <v>82</v>
      </c>
      <c r="B87" s="1">
        <f t="shared" si="4"/>
        <v>184.15560682874593</v>
      </c>
      <c r="C87" s="1">
        <f t="shared" si="7"/>
        <v>0.34913378089359526</v>
      </c>
      <c r="D87" s="1">
        <f t="shared" si="5"/>
        <v>0.19215206072284621</v>
      </c>
      <c r="E87" s="1">
        <f t="shared" si="6"/>
        <v>7.045575559837694E-2</v>
      </c>
    </row>
    <row r="88" spans="1:5">
      <c r="A88">
        <v>83</v>
      </c>
      <c r="B88" s="1">
        <f t="shared" si="4"/>
        <v>184.49438929868342</v>
      </c>
      <c r="C88" s="1">
        <f t="shared" si="7"/>
        <v>0.33878246993748462</v>
      </c>
      <c r="D88" s="1">
        <f t="shared" si="5"/>
        <v>0.18645503041455352</v>
      </c>
      <c r="E88" s="1">
        <f t="shared" si="6"/>
        <v>6.8366844485336309E-2</v>
      </c>
    </row>
    <row r="89" spans="1:5">
      <c r="A89">
        <v>84</v>
      </c>
      <c r="B89" s="1">
        <f t="shared" si="4"/>
        <v>184.82313868764166</v>
      </c>
      <c r="C89" s="1">
        <f t="shared" si="7"/>
        <v>0.32874938895824357</v>
      </c>
      <c r="D89" s="1">
        <f t="shared" si="5"/>
        <v>0.18093314370217059</v>
      </c>
      <c r="E89" s="1">
        <f t="shared" si="6"/>
        <v>6.6342152690795894E-2</v>
      </c>
    </row>
    <row r="90" spans="1:5">
      <c r="A90">
        <v>85</v>
      </c>
      <c r="B90" s="1">
        <f t="shared" si="4"/>
        <v>185.14216274450209</v>
      </c>
      <c r="C90" s="1">
        <f t="shared" si="7"/>
        <v>0.31902405686042812</v>
      </c>
      <c r="D90" s="1">
        <f t="shared" si="5"/>
        <v>0.17558063212616007</v>
      </c>
      <c r="E90" s="1">
        <f t="shared" si="6"/>
        <v>6.4379565112925363E-2</v>
      </c>
    </row>
    <row r="91" spans="1:5">
      <c r="A91">
        <v>86</v>
      </c>
      <c r="B91" s="1">
        <f t="shared" si="4"/>
        <v>185.45175912615375</v>
      </c>
      <c r="C91" s="1">
        <f t="shared" si="7"/>
        <v>0.3095963816516587</v>
      </c>
      <c r="D91" s="1">
        <f t="shared" si="5"/>
        <v>0.17039194137686009</v>
      </c>
      <c r="E91" s="1">
        <f t="shared" si="6"/>
        <v>6.2477045171515366E-2</v>
      </c>
    </row>
    <row r="92" spans="1:5">
      <c r="A92">
        <v>87</v>
      </c>
      <c r="B92" s="1">
        <f t="shared" si="4"/>
        <v>185.75221576935056</v>
      </c>
      <c r="C92" s="1">
        <f t="shared" si="7"/>
        <v>0.30045664319681009</v>
      </c>
      <c r="D92" s="1">
        <f t="shared" si="5"/>
        <v>0.16536172180294198</v>
      </c>
      <c r="E92" s="1">
        <f t="shared" si="6"/>
        <v>6.0632631327745393E-2</v>
      </c>
    </row>
    <row r="93" spans="1:5">
      <c r="A93">
        <v>88</v>
      </c>
      <c r="B93" s="1">
        <f t="shared" si="4"/>
        <v>186.04381124626644</v>
      </c>
      <c r="C93" s="1">
        <f t="shared" si="7"/>
        <v>0.29159547691588728</v>
      </c>
      <c r="D93" s="1">
        <f t="shared" si="5"/>
        <v>0.16048481943924306</v>
      </c>
      <c r="E93" s="1">
        <f t="shared" si="6"/>
        <v>5.8844433794389119E-2</v>
      </c>
    </row>
    <row r="94" spans="1:5">
      <c r="A94">
        <v>89</v>
      </c>
      <c r="B94" s="1">
        <f t="shared" si="4"/>
        <v>186.32681510462783</v>
      </c>
      <c r="C94" s="1">
        <f t="shared" si="7"/>
        <v>0.28300385836138275</v>
      </c>
      <c r="D94" s="1">
        <f t="shared" si="5"/>
        <v>0.1557562675186375</v>
      </c>
      <c r="E94" s="1">
        <f t="shared" si="6"/>
        <v>5.711063142350041E-2</v>
      </c>
    </row>
    <row r="95" spans="1:5">
      <c r="A95">
        <v>90</v>
      </c>
      <c r="B95" s="1">
        <f t="shared" si="4"/>
        <v>186.60148819324596</v>
      </c>
      <c r="C95" s="1">
        <f t="shared" si="7"/>
        <v>0.27467308861812967</v>
      </c>
      <c r="D95" s="1">
        <f t="shared" si="5"/>
        <v>0.15117127843658279</v>
      </c>
      <c r="E95" s="1">
        <f t="shared" si="6"/>
        <v>5.5429468760080362E-2</v>
      </c>
    </row>
    <row r="96" spans="1:5">
      <c r="A96">
        <v>91</v>
      </c>
      <c r="B96" s="1">
        <f t="shared" si="4"/>
        <v>186.86808297371743</v>
      </c>
      <c r="C96" s="1">
        <f t="shared" si="7"/>
        <v>0.266594780471479</v>
      </c>
      <c r="D96" s="1">
        <f t="shared" si="5"/>
        <v>0.14672523613852695</v>
      </c>
      <c r="E96" s="1">
        <f t="shared" si="6"/>
        <v>5.3799253250793211E-2</v>
      </c>
    </row>
    <row r="97" spans="1:5">
      <c r="A97">
        <v>92</v>
      </c>
      <c r="B97" s="1">
        <f t="shared" si="4"/>
        <v>187.12684381901201</v>
      </c>
      <c r="C97" s="1">
        <f t="shared" si="7"/>
        <v>0.25876084529457444</v>
      </c>
      <c r="D97" s="1">
        <f t="shared" si="5"/>
        <v>0.14241368890308434</v>
      </c>
      <c r="E97" s="1">
        <f t="shared" si="6"/>
        <v>5.2218352597797592E-2</v>
      </c>
    </row>
    <row r="98" spans="1:5">
      <c r="A98">
        <v>93</v>
      </c>
      <c r="B98" s="1">
        <f t="shared" si="4"/>
        <v>187.37800729962166</v>
      </c>
      <c r="C98" s="1">
        <f t="shared" si="7"/>
        <v>0.2511634806096481</v>
      </c>
      <c r="D98" s="1">
        <f t="shared" si="5"/>
        <v>0.13823234249617081</v>
      </c>
      <c r="E98" s="1">
        <f t="shared" si="6"/>
        <v>5.0685192248595967E-2</v>
      </c>
    </row>
    <row r="99" spans="1:5">
      <c r="A99">
        <v>94</v>
      </c>
      <c r="B99" s="1">
        <f t="shared" si="4"/>
        <v>187.62180245790162</v>
      </c>
      <c r="C99" s="1">
        <f t="shared" si="7"/>
        <v>0.24379515827996556</v>
      </c>
      <c r="D99" s="1">
        <f t="shared" si="5"/>
        <v>0.13417705367222807</v>
      </c>
      <c r="E99" s="1">
        <f t="shared" si="6"/>
        <v>4.9198253013150291E-2</v>
      </c>
    </row>
    <row r="100" spans="1:5">
      <c r="A100">
        <v>95</v>
      </c>
      <c r="B100" s="1">
        <f t="shared" si="4"/>
        <v>187.85845107119661</v>
      </c>
      <c r="C100" s="1">
        <f t="shared" si="7"/>
        <v>0.23664861329498876</v>
      </c>
      <c r="D100" s="1">
        <f t="shared" si="5"/>
        <v>0.13024382400193635</v>
      </c>
      <c r="E100" s="1">
        <f t="shared" si="6"/>
        <v>4.7756068800709997E-2</v>
      </c>
    </row>
    <row r="101" spans="1:5">
      <c r="A101">
        <v>96</v>
      </c>
      <c r="B101" s="1">
        <f t="shared" si="4"/>
        <v>188.08816790430711</v>
      </c>
      <c r="C101" s="1">
        <f t="shared" si="7"/>
        <v>0.22971683311050128</v>
      </c>
      <c r="D101" s="1">
        <f t="shared" si="5"/>
        <v>0.12642879400536036</v>
      </c>
      <c r="E101" s="1">
        <f t="shared" si="6"/>
        <v>4.6357224468632129E-2</v>
      </c>
    </row>
    <row r="102" spans="1:5">
      <c r="A102">
        <v>97</v>
      </c>
      <c r="B102" s="1">
        <f t="shared" si="4"/>
        <v>188.31116095181949</v>
      </c>
      <c r="C102" s="1">
        <f t="shared" si="7"/>
        <v>0.22299304751237514</v>
      </c>
      <c r="D102" s="1">
        <f t="shared" si="5"/>
        <v>0.12272823757329086</v>
      </c>
      <c r="E102" s="1">
        <f t="shared" si="6"/>
        <v>4.5000353776873316E-2</v>
      </c>
    </row>
    <row r="103" spans="1:5">
      <c r="A103">
        <v>98</v>
      </c>
      <c r="B103" s="1">
        <f t="shared" si="4"/>
        <v>188.52763167079019</v>
      </c>
      <c r="C103" s="1">
        <f t="shared" si="7"/>
        <v>0.21647071897069736</v>
      </c>
      <c r="D103" s="1">
        <f t="shared" si="5"/>
        <v>0.11913855665846475</v>
      </c>
      <c r="E103" s="1">
        <f t="shared" si="6"/>
        <v>4.3684137441437072E-2</v>
      </c>
    </row>
    <row r="104" spans="1:5">
      <c r="A104">
        <v>99</v>
      </c>
      <c r="B104" s="1">
        <f t="shared" si="4"/>
        <v>188.7377752042473</v>
      </c>
      <c r="C104" s="1">
        <f t="shared" si="7"/>
        <v>0.21014353345711356</v>
      </c>
      <c r="D104" s="1">
        <f t="shared" si="5"/>
        <v>0.11565627622172467</v>
      </c>
      <c r="E104" s="1">
        <f t="shared" si="6"/>
        <v>4.2407301281299048E-2</v>
      </c>
    </row>
    <row r="105" spans="1:5">
      <c r="A105">
        <v>100</v>
      </c>
      <c r="B105" s="1">
        <f t="shared" si="4"/>
        <v>188.94178059594381</v>
      </c>
      <c r="C105" s="1">
        <f t="shared" si="7"/>
        <v>0.20400539169651211</v>
      </c>
      <c r="D105" s="1">
        <f t="shared" si="5"/>
        <v>0.11227803941722597</v>
      </c>
      <c r="E105" s="1">
        <f t="shared" si="6"/>
        <v>4.1168614452982852E-2</v>
      </c>
    </row>
  </sheetData>
  <mergeCells count="11">
    <mergeCell ref="G45:G46"/>
    <mergeCell ref="H40:H41"/>
    <mergeCell ref="M7:M8"/>
    <mergeCell ref="H7:H8"/>
    <mergeCell ref="I30:J30"/>
    <mergeCell ref="G42:G44"/>
    <mergeCell ref="A4:E4"/>
    <mergeCell ref="A1:E1"/>
    <mergeCell ref="I7:J7"/>
    <mergeCell ref="K7:K8"/>
    <mergeCell ref="L7:L8"/>
  </mergeCells>
  <phoneticPr fontId="18"/>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G63"/>
  <sheetViews>
    <sheetView topLeftCell="A47" workbookViewId="0">
      <selection activeCell="R20" sqref="R20"/>
    </sheetView>
  </sheetViews>
  <sheetFormatPr defaultColWidth="12.8984375" defaultRowHeight="14.4"/>
  <cols>
    <col min="1" max="1" width="19.5" bestFit="1" customWidth="1"/>
    <col min="2" max="2" width="18.59765625" bestFit="1" customWidth="1"/>
    <col min="4" max="4" width="22" bestFit="1" customWidth="1"/>
  </cols>
  <sheetData>
    <row r="2" spans="1:1">
      <c r="A2" t="s">
        <v>56</v>
      </c>
    </row>
    <row r="47" spans="1:7">
      <c r="G47" t="s">
        <v>101</v>
      </c>
    </row>
    <row r="48" spans="1:7" ht="18">
      <c r="A48" t="s">
        <v>59</v>
      </c>
      <c r="B48" t="s">
        <v>60</v>
      </c>
      <c r="D48" t="s">
        <v>57</v>
      </c>
    </row>
    <row r="50" spans="1:4">
      <c r="A50" t="s">
        <v>58</v>
      </c>
      <c r="B50" t="s">
        <v>61</v>
      </c>
      <c r="C50">
        <v>0.3</v>
      </c>
      <c r="D50" t="s">
        <v>63</v>
      </c>
    </row>
    <row r="51" spans="1:4">
      <c r="C51">
        <v>0.5</v>
      </c>
      <c r="D51" t="s">
        <v>62</v>
      </c>
    </row>
    <row r="53" spans="1:4" ht="18">
      <c r="A53" t="s">
        <v>64</v>
      </c>
    </row>
    <row r="54" spans="1:4" ht="18">
      <c r="A54" t="s">
        <v>65</v>
      </c>
    </row>
    <row r="56" spans="1:4">
      <c r="A56" s="14" t="s">
        <v>66</v>
      </c>
    </row>
    <row r="61" spans="1:4">
      <c r="B61" s="12" t="s">
        <v>40</v>
      </c>
      <c r="C61" s="13" t="s">
        <v>47</v>
      </c>
      <c r="D61" s="13" t="s">
        <v>48</v>
      </c>
    </row>
    <row r="62" spans="1:4">
      <c r="A62" s="2" t="s">
        <v>49</v>
      </c>
      <c r="B62" s="4" t="s">
        <v>50</v>
      </c>
      <c r="C62" s="2">
        <v>124000</v>
      </c>
      <c r="D62" s="4" t="s">
        <v>51</v>
      </c>
    </row>
    <row r="63" spans="1:4">
      <c r="A63" s="2" t="s">
        <v>52</v>
      </c>
      <c r="B63" s="4" t="s">
        <v>50</v>
      </c>
      <c r="C63" s="2">
        <v>27000</v>
      </c>
      <c r="D63" s="4" t="s">
        <v>53</v>
      </c>
    </row>
  </sheetData>
  <phoneticPr fontId="18"/>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05"/>
  <sheetViews>
    <sheetView topLeftCell="B1" workbookViewId="0">
      <selection activeCell="R20" sqref="R20"/>
    </sheetView>
  </sheetViews>
  <sheetFormatPr defaultColWidth="12.8984375" defaultRowHeight="14.4"/>
  <cols>
    <col min="1" max="1" width="5.5" bestFit="1" customWidth="1"/>
    <col min="2" max="2" width="14.09765625" bestFit="1" customWidth="1"/>
    <col min="3" max="3" width="20.09765625" bestFit="1" customWidth="1"/>
    <col min="4" max="4" width="23.8984375" bestFit="1" customWidth="1"/>
    <col min="5" max="5" width="21.5" bestFit="1" customWidth="1"/>
    <col min="6" max="7" width="6.09765625" customWidth="1"/>
    <col min="8" max="8" width="48.09765625" bestFit="1" customWidth="1"/>
    <col min="9" max="10" width="18.09765625" bestFit="1" customWidth="1"/>
    <col min="11" max="12" width="7.8984375" customWidth="1"/>
    <col min="13" max="13" width="11.5" bestFit="1" customWidth="1"/>
  </cols>
  <sheetData>
    <row r="1" spans="1:13" ht="19.2">
      <c r="A1" s="817" t="s">
        <v>26</v>
      </c>
      <c r="B1" s="817"/>
      <c r="C1" s="817"/>
      <c r="D1" s="817"/>
      <c r="E1" s="817"/>
    </row>
    <row r="2" spans="1:13">
      <c r="A2" t="s">
        <v>24</v>
      </c>
    </row>
    <row r="4" spans="1:13" ht="28.8">
      <c r="A4" s="814" t="s">
        <v>25</v>
      </c>
      <c r="B4" s="815"/>
      <c r="C4" s="815"/>
      <c r="D4" s="815"/>
      <c r="E4" s="816"/>
      <c r="H4" s="8" t="s">
        <v>35</v>
      </c>
      <c r="I4" s="7" t="s">
        <v>21</v>
      </c>
      <c r="J4" s="15" t="s">
        <v>0</v>
      </c>
      <c r="K4" s="15" t="s">
        <v>1</v>
      </c>
      <c r="L4" s="15" t="s">
        <v>2</v>
      </c>
      <c r="M4" s="15" t="s">
        <v>3</v>
      </c>
    </row>
    <row r="5" spans="1:13">
      <c r="A5" s="2" t="s">
        <v>4</v>
      </c>
      <c r="B5" s="2" t="s">
        <v>5</v>
      </c>
      <c r="C5" s="2" t="s">
        <v>23</v>
      </c>
      <c r="D5" s="2" t="s">
        <v>69</v>
      </c>
      <c r="E5" s="2" t="s">
        <v>14</v>
      </c>
      <c r="F5" s="1"/>
      <c r="G5" s="1"/>
      <c r="H5" s="2" t="s">
        <v>27</v>
      </c>
      <c r="I5" s="2">
        <v>1</v>
      </c>
      <c r="J5" s="2">
        <v>195.8</v>
      </c>
      <c r="K5" s="2">
        <v>2.9000000000000001E-2</v>
      </c>
      <c r="L5" s="2">
        <v>0.37</v>
      </c>
      <c r="M5" s="2">
        <v>0.99950000000000006</v>
      </c>
    </row>
    <row r="6" spans="1:13">
      <c r="A6">
        <v>1</v>
      </c>
      <c r="B6" s="1">
        <f>$J$5*(1-$I$5*EXP(-$K$5*A6))^(1/1-$L$5)</f>
        <v>20.852865092744654</v>
      </c>
      <c r="C6" s="1">
        <f>B6</f>
        <v>20.852865092744654</v>
      </c>
      <c r="D6" s="1">
        <f>C6*$I$9*(1+$K$9)*$L$9*$M$9</f>
        <v>11.47674965536369</v>
      </c>
      <c r="E6" s="1">
        <f>D6/10000*1000</f>
        <v>1.1476749655363689</v>
      </c>
      <c r="F6" s="1"/>
      <c r="G6" s="1"/>
    </row>
    <row r="7" spans="1:13">
      <c r="A7">
        <v>2</v>
      </c>
      <c r="B7" s="1">
        <f t="shared" ref="B7:B70" si="0">$J$5*(1-$I$5*EXP(-$K$5*A7))^(1/1-$L$5)</f>
        <v>31.979827183768872</v>
      </c>
      <c r="C7" s="1">
        <f>B7-B6</f>
        <v>11.126962091024218</v>
      </c>
      <c r="D7" s="1">
        <f t="shared" ref="D7:D70" si="1">C7*$I$9*(1+$K$9)*$L$9*$M$9</f>
        <v>6.1239238721128171</v>
      </c>
      <c r="E7" s="1">
        <f t="shared" ref="E7:E70" si="2">D7/10000*1000</f>
        <v>0.61239238721128175</v>
      </c>
      <c r="F7" s="1"/>
      <c r="G7" s="1"/>
      <c r="H7" s="820" t="s">
        <v>34</v>
      </c>
      <c r="I7" s="563" t="s">
        <v>12</v>
      </c>
      <c r="J7" s="563"/>
      <c r="K7" s="564" t="s">
        <v>9</v>
      </c>
      <c r="L7" s="564" t="s">
        <v>10</v>
      </c>
      <c r="M7" s="564" t="s">
        <v>68</v>
      </c>
    </row>
    <row r="8" spans="1:13">
      <c r="A8">
        <v>3</v>
      </c>
      <c r="B8" s="1">
        <f t="shared" si="0"/>
        <v>40.916102626239777</v>
      </c>
      <c r="C8" s="1">
        <f t="shared" ref="C8:C71" si="3">B8-B7</f>
        <v>8.9362754424709046</v>
      </c>
      <c r="D8" s="1">
        <f t="shared" si="1"/>
        <v>4.9182400427218269</v>
      </c>
      <c r="E8" s="1">
        <f t="shared" si="2"/>
        <v>0.49182400427218276</v>
      </c>
      <c r="F8" s="1"/>
      <c r="G8" s="1"/>
      <c r="H8" s="821"/>
      <c r="I8" s="15" t="s">
        <v>7</v>
      </c>
      <c r="J8" s="15" t="s">
        <v>8</v>
      </c>
      <c r="K8" s="566"/>
      <c r="L8" s="566"/>
      <c r="M8" s="566"/>
    </row>
    <row r="9" spans="1:13">
      <c r="A9">
        <v>4</v>
      </c>
      <c r="B9" s="1">
        <f t="shared" si="0"/>
        <v>48.607746204783133</v>
      </c>
      <c r="C9" s="1">
        <f t="shared" si="3"/>
        <v>7.6916435785433563</v>
      </c>
      <c r="D9" s="1">
        <f t="shared" si="1"/>
        <v>4.2332344930357495</v>
      </c>
      <c r="E9" s="1">
        <f t="shared" si="2"/>
        <v>0.42332344930357496</v>
      </c>
      <c r="F9" s="1"/>
      <c r="G9" s="1"/>
      <c r="H9" s="3" t="s">
        <v>6</v>
      </c>
      <c r="I9" s="3">
        <v>1.4</v>
      </c>
      <c r="J9" s="3">
        <v>1.26</v>
      </c>
      <c r="K9" s="3">
        <v>0.26</v>
      </c>
      <c r="L9" s="3">
        <v>0.624</v>
      </c>
      <c r="M9" s="3">
        <v>0.5</v>
      </c>
    </row>
    <row r="10" spans="1:13">
      <c r="A10">
        <v>5</v>
      </c>
      <c r="B10" s="1">
        <f t="shared" si="0"/>
        <v>55.446964630860897</v>
      </c>
      <c r="C10" s="1">
        <f t="shared" si="3"/>
        <v>6.839218426077764</v>
      </c>
      <c r="D10" s="1">
        <f t="shared" si="1"/>
        <v>3.7640869667235668</v>
      </c>
      <c r="E10" s="1">
        <f t="shared" si="2"/>
        <v>0.37640869667235671</v>
      </c>
      <c r="F10" s="1"/>
      <c r="G10" s="1"/>
    </row>
    <row r="11" spans="1:13">
      <c r="A11">
        <v>6</v>
      </c>
      <c r="B11" s="1">
        <f t="shared" si="0"/>
        <v>61.64531834204044</v>
      </c>
      <c r="C11" s="1">
        <f t="shared" si="3"/>
        <v>6.1983537111795428</v>
      </c>
      <c r="D11" s="1">
        <f t="shared" si="1"/>
        <v>3.4113755353144626</v>
      </c>
      <c r="E11" s="1">
        <f t="shared" si="2"/>
        <v>0.34113755353144626</v>
      </c>
      <c r="F11" s="1"/>
      <c r="G11" s="1"/>
      <c r="H11" s="9" t="s">
        <v>67</v>
      </c>
      <c r="I11" s="2" t="s">
        <v>33</v>
      </c>
      <c r="J11" s="2" t="s">
        <v>29</v>
      </c>
    </row>
    <row r="12" spans="1:13">
      <c r="A12">
        <v>7</v>
      </c>
      <c r="B12" s="1">
        <f t="shared" si="0"/>
        <v>67.333914248546989</v>
      </c>
      <c r="C12" s="1">
        <f t="shared" si="3"/>
        <v>5.6885959065065492</v>
      </c>
      <c r="D12" s="1">
        <f t="shared" si="1"/>
        <v>3.1308211518721962</v>
      </c>
      <c r="E12" s="1">
        <f t="shared" si="2"/>
        <v>0.31308211518721962</v>
      </c>
      <c r="F12" s="1"/>
      <c r="G12" s="1"/>
      <c r="H12" s="2" t="s">
        <v>70</v>
      </c>
      <c r="I12" s="16">
        <f>AVERAGE(E6:E14)</f>
        <v>0.47399908829172194</v>
      </c>
      <c r="J12" s="16">
        <f>AVERAGE(E6:E12)</f>
        <v>0.52940616738777579</v>
      </c>
    </row>
    <row r="13" spans="1:13">
      <c r="A13">
        <v>8</v>
      </c>
      <c r="B13" s="1">
        <f t="shared" si="0"/>
        <v>72.601435568390059</v>
      </c>
      <c r="C13" s="1">
        <f t="shared" si="3"/>
        <v>5.2675213198430697</v>
      </c>
      <c r="D13" s="1">
        <f t="shared" si="1"/>
        <v>2.8990751737593907</v>
      </c>
      <c r="E13" s="1">
        <f t="shared" si="2"/>
        <v>0.28990751737593906</v>
      </c>
      <c r="F13" s="1"/>
      <c r="G13" s="1"/>
      <c r="H13" s="2" t="s">
        <v>18</v>
      </c>
      <c r="I13" s="2">
        <v>1331</v>
      </c>
      <c r="J13" s="2">
        <v>1007</v>
      </c>
    </row>
    <row r="14" spans="1:13">
      <c r="A14">
        <v>9</v>
      </c>
      <c r="B14" s="1">
        <f t="shared" si="0"/>
        <v>77.511624851472064</v>
      </c>
      <c r="C14" s="1">
        <f t="shared" si="3"/>
        <v>4.9101892830820049</v>
      </c>
      <c r="D14" s="1">
        <f t="shared" si="1"/>
        <v>2.702411055351277</v>
      </c>
      <c r="E14" s="1">
        <f t="shared" si="2"/>
        <v>0.2702411055351277</v>
      </c>
      <c r="F14" s="1"/>
      <c r="H14" s="2" t="s">
        <v>70</v>
      </c>
      <c r="I14" s="823">
        <f>(I12*I13+J12*J13)/(I13+J13)</f>
        <v>0.49786347180315327</v>
      </c>
      <c r="J14" s="824"/>
    </row>
    <row r="15" spans="1:13">
      <c r="A15">
        <v>10</v>
      </c>
      <c r="B15" s="1">
        <f t="shared" si="0"/>
        <v>82.11239386816132</v>
      </c>
      <c r="C15" s="1">
        <f t="shared" si="3"/>
        <v>4.6007690166892559</v>
      </c>
      <c r="D15" s="1">
        <f t="shared" si="1"/>
        <v>2.5321160421772322</v>
      </c>
      <c r="E15" s="1">
        <f t="shared" si="2"/>
        <v>0.25321160421772321</v>
      </c>
      <c r="F15" s="1"/>
      <c r="H15" s="4" t="s">
        <v>71</v>
      </c>
      <c r="I15" s="825">
        <f>I12*I13+J12*J13</f>
        <v>1164.0047970757723</v>
      </c>
      <c r="J15" s="825"/>
    </row>
    <row r="16" spans="1:13">
      <c r="A16">
        <v>11</v>
      </c>
      <c r="B16" s="1">
        <f t="shared" si="0"/>
        <v>86.441014131547306</v>
      </c>
      <c r="C16" s="1">
        <f t="shared" si="3"/>
        <v>4.3286202633859858</v>
      </c>
      <c r="D16" s="1">
        <f t="shared" si="1"/>
        <v>2.3823340771192183</v>
      </c>
      <c r="E16" s="1">
        <f t="shared" si="2"/>
        <v>0.23823340771192184</v>
      </c>
      <c r="F16" s="1"/>
      <c r="H16" s="4" t="s">
        <v>79</v>
      </c>
      <c r="I16" s="698">
        <f>I15/365/24/60/60/1000</f>
        <v>3.6910349983376849E-8</v>
      </c>
      <c r="J16" s="698"/>
      <c r="K16" t="s">
        <v>75</v>
      </c>
    </row>
    <row r="17" spans="1:10">
      <c r="A17">
        <v>12</v>
      </c>
      <c r="B17" s="1">
        <f t="shared" si="0"/>
        <v>90.527280251213156</v>
      </c>
      <c r="C17" s="1">
        <f t="shared" si="3"/>
        <v>4.0862661196658507</v>
      </c>
      <c r="D17" s="1">
        <f t="shared" si="1"/>
        <v>2.2489501117482544</v>
      </c>
      <c r="E17" s="1">
        <f t="shared" si="2"/>
        <v>0.22489501117482544</v>
      </c>
      <c r="F17" s="1"/>
    </row>
    <row r="18" spans="1:10">
      <c r="A18">
        <v>13</v>
      </c>
      <c r="B18" s="1">
        <f t="shared" si="0"/>
        <v>94.395542214247513</v>
      </c>
      <c r="C18" s="1">
        <f t="shared" si="3"/>
        <v>3.8682619630343567</v>
      </c>
      <c r="D18" s="1">
        <f t="shared" si="1"/>
        <v>2.1289676000712925</v>
      </c>
      <c r="E18" s="1">
        <f t="shared" si="2"/>
        <v>0.21289676000712923</v>
      </c>
      <c r="F18" s="1"/>
    </row>
    <row r="19" spans="1:10">
      <c r="A19">
        <v>14</v>
      </c>
      <c r="B19" s="1">
        <f t="shared" si="0"/>
        <v>98.06606770229628</v>
      </c>
      <c r="C19" s="1">
        <f t="shared" si="3"/>
        <v>3.6705254880487672</v>
      </c>
      <c r="D19" s="1">
        <f t="shared" si="1"/>
        <v>2.0201397718064236</v>
      </c>
      <c r="E19" s="1">
        <f t="shared" si="2"/>
        <v>0.20201397718064235</v>
      </c>
      <c r="F19" s="1"/>
    </row>
    <row r="20" spans="1:10">
      <c r="A20">
        <v>15</v>
      </c>
      <c r="B20" s="1">
        <f t="shared" si="0"/>
        <v>101.55598786970828</v>
      </c>
      <c r="C20" s="1">
        <f t="shared" si="3"/>
        <v>3.4899201674119951</v>
      </c>
      <c r="D20" s="1">
        <f t="shared" si="1"/>
        <v>1.9207403826982048</v>
      </c>
      <c r="E20" s="1">
        <f t="shared" si="2"/>
        <v>0.19207403826982047</v>
      </c>
      <c r="F20" s="1"/>
      <c r="H20" s="37" t="s">
        <v>89</v>
      </c>
      <c r="I20" s="2" t="s">
        <v>86</v>
      </c>
      <c r="J20" s="2" t="s">
        <v>87</v>
      </c>
    </row>
    <row r="21" spans="1:10">
      <c r="A21">
        <v>16</v>
      </c>
      <c r="B21" s="1">
        <f t="shared" si="0"/>
        <v>104.87997354046169</v>
      </c>
      <c r="C21" s="1">
        <f t="shared" si="3"/>
        <v>3.3239856707534159</v>
      </c>
      <c r="D21" s="1">
        <f t="shared" si="1"/>
        <v>1.8294153456412161</v>
      </c>
      <c r="E21" s="1">
        <f t="shared" si="2"/>
        <v>0.18294153456412163</v>
      </c>
      <c r="F21" s="1"/>
      <c r="G21" s="563" t="s">
        <v>88</v>
      </c>
      <c r="H21" s="2" t="s">
        <v>72</v>
      </c>
      <c r="I21" s="17">
        <v>1478600000</v>
      </c>
      <c r="J21" s="2" t="s">
        <v>73</v>
      </c>
    </row>
    <row r="22" spans="1:10">
      <c r="A22">
        <v>17</v>
      </c>
      <c r="B22" s="1">
        <f t="shared" si="0"/>
        <v>108.05073093152042</v>
      </c>
      <c r="C22" s="1">
        <f t="shared" si="3"/>
        <v>3.1707573910587286</v>
      </c>
      <c r="D22" s="1">
        <f t="shared" si="1"/>
        <v>1.7450834038022101</v>
      </c>
      <c r="E22" s="1">
        <f t="shared" si="2"/>
        <v>0.17450834038022101</v>
      </c>
      <c r="F22" s="1"/>
      <c r="G22" s="563"/>
      <c r="H22" s="6" t="s">
        <v>74</v>
      </c>
      <c r="I22" s="38">
        <f>I16*I21</f>
        <v>54.575643485421011</v>
      </c>
      <c r="J22" s="6" t="s">
        <v>46</v>
      </c>
    </row>
    <row r="23" spans="1:10">
      <c r="A23">
        <v>18</v>
      </c>
      <c r="B23" s="1">
        <f t="shared" si="0"/>
        <v>111.07937301164185</v>
      </c>
      <c r="C23" s="1">
        <f t="shared" si="3"/>
        <v>3.0286420801214291</v>
      </c>
      <c r="D23" s="1">
        <f t="shared" si="1"/>
        <v>1.6668676843522707</v>
      </c>
      <c r="E23" s="1">
        <f t="shared" si="2"/>
        <v>0.16668676843522709</v>
      </c>
      <c r="F23" s="1"/>
      <c r="G23" s="563" t="s">
        <v>76</v>
      </c>
      <c r="H23" s="2" t="s">
        <v>77</v>
      </c>
      <c r="I23" s="2">
        <v>180</v>
      </c>
      <c r="J23" s="2" t="s">
        <v>78</v>
      </c>
    </row>
    <row r="24" spans="1:10">
      <c r="A24">
        <v>19</v>
      </c>
      <c r="B24" s="1">
        <f t="shared" si="0"/>
        <v>113.97570298897394</v>
      </c>
      <c r="C24" s="1">
        <f t="shared" si="3"/>
        <v>2.896329977332087</v>
      </c>
      <c r="D24" s="1">
        <f t="shared" si="1"/>
        <v>1.5940473369643058</v>
      </c>
      <c r="E24" s="1">
        <f t="shared" si="2"/>
        <v>0.15940473369643057</v>
      </c>
      <c r="F24" s="1"/>
      <c r="G24" s="563"/>
      <c r="H24" s="38" t="s">
        <v>80</v>
      </c>
      <c r="I24" s="39">
        <f>I23*I15/1000</f>
        <v>209.520863473639</v>
      </c>
      <c r="J24" s="6" t="s">
        <v>81</v>
      </c>
    </row>
    <row r="25" spans="1:10">
      <c r="A25">
        <v>20</v>
      </c>
      <c r="B25" s="1">
        <f t="shared" si="0"/>
        <v>116.7484343391755</v>
      </c>
      <c r="C25" s="1">
        <f t="shared" si="3"/>
        <v>2.7727313502015676</v>
      </c>
      <c r="D25" s="1">
        <f t="shared" si="1"/>
        <v>1.5260226077477363</v>
      </c>
      <c r="E25" s="1">
        <f t="shared" si="2"/>
        <v>0.15260226077477362</v>
      </c>
      <c r="F25" s="1"/>
    </row>
    <row r="26" spans="1:10">
      <c r="A26">
        <v>21</v>
      </c>
      <c r="B26" s="1">
        <f t="shared" si="0"/>
        <v>119.40536411114837</v>
      </c>
      <c r="C26" s="1">
        <f t="shared" si="3"/>
        <v>2.6569297719728695</v>
      </c>
      <c r="D26" s="1">
        <f t="shared" si="1"/>
        <v>1.4622891247411642</v>
      </c>
      <c r="E26" s="1">
        <f t="shared" si="2"/>
        <v>0.14622891247411643</v>
      </c>
      <c r="F26" s="1"/>
    </row>
    <row r="27" spans="1:10">
      <c r="A27">
        <v>22</v>
      </c>
      <c r="B27" s="1">
        <f t="shared" si="0"/>
        <v>121.95351123818813</v>
      </c>
      <c r="C27" s="1">
        <f t="shared" si="3"/>
        <v>2.5481471270397549</v>
      </c>
      <c r="D27" s="1">
        <f t="shared" si="1"/>
        <v>1.4024186380146155</v>
      </c>
      <c r="E27" s="1">
        <f t="shared" si="2"/>
        <v>0.14024186380146156</v>
      </c>
      <c r="F27" s="1"/>
    </row>
    <row r="28" spans="1:10">
      <c r="A28">
        <v>23</v>
      </c>
      <c r="B28" s="1">
        <f t="shared" si="0"/>
        <v>124.39922823322601</v>
      </c>
      <c r="C28" s="1">
        <f t="shared" si="3"/>
        <v>2.4457169950378841</v>
      </c>
      <c r="D28" s="1">
        <f t="shared" si="1"/>
        <v>1.3460443711250101</v>
      </c>
      <c r="E28" s="1">
        <f t="shared" si="2"/>
        <v>0.134604437112501</v>
      </c>
      <c r="F28" s="1"/>
    </row>
    <row r="29" spans="1:10">
      <c r="A29">
        <v>24</v>
      </c>
      <c r="B29" s="1">
        <f t="shared" si="0"/>
        <v>126.74829235909647</v>
      </c>
      <c r="C29" s="1">
        <f t="shared" si="3"/>
        <v>2.3490641258704557</v>
      </c>
      <c r="D29" s="1">
        <f t="shared" si="1"/>
        <v>1.2928497248270707</v>
      </c>
      <c r="E29" s="1">
        <f t="shared" si="2"/>
        <v>0.12928497248270707</v>
      </c>
      <c r="F29" s="1"/>
    </row>
    <row r="30" spans="1:10">
      <c r="A30">
        <v>25</v>
      </c>
      <c r="B30" s="1">
        <f t="shared" si="0"/>
        <v>129.00598077164963</v>
      </c>
      <c r="C30" s="1">
        <f t="shared" si="3"/>
        <v>2.2576884125531649</v>
      </c>
      <c r="D30" s="1">
        <f t="shared" si="1"/>
        <v>1.2425594562400604</v>
      </c>
      <c r="E30" s="1">
        <f t="shared" si="2"/>
        <v>0.12425594562400603</v>
      </c>
    </row>
    <row r="31" spans="1:10">
      <c r="A31">
        <v>26</v>
      </c>
      <c r="B31" s="1">
        <f t="shared" si="0"/>
        <v>131.17713300464786</v>
      </c>
      <c r="C31" s="1">
        <f t="shared" si="3"/>
        <v>2.1711522329982245</v>
      </c>
      <c r="D31" s="1">
        <f t="shared" si="1"/>
        <v>1.1949327121707667</v>
      </c>
      <c r="E31" s="1">
        <f t="shared" si="2"/>
        <v>0.11949327121707667</v>
      </c>
    </row>
    <row r="32" spans="1:10">
      <c r="A32">
        <v>27</v>
      </c>
      <c r="B32" s="1">
        <f t="shared" si="0"/>
        <v>133.26620335272247</v>
      </c>
      <c r="C32" s="1">
        <f t="shared" si="3"/>
        <v>2.089070348074614</v>
      </c>
      <c r="D32" s="1">
        <f t="shared" si="1"/>
        <v>1.149757469329129</v>
      </c>
      <c r="E32" s="1">
        <f t="shared" si="2"/>
        <v>0.1149757469329129</v>
      </c>
    </row>
    <row r="33" spans="1:5">
      <c r="A33">
        <v>28</v>
      </c>
      <c r="B33" s="1">
        <f t="shared" si="0"/>
        <v>135.27730511514775</v>
      </c>
      <c r="C33" s="1">
        <f t="shared" si="3"/>
        <v>2.0111017624252838</v>
      </c>
      <c r="D33" s="1">
        <f t="shared" si="1"/>
        <v>1.1068460547824786</v>
      </c>
      <c r="E33" s="1">
        <f t="shared" si="2"/>
        <v>0.11068460547824786</v>
      </c>
    </row>
    <row r="34" spans="1:5">
      <c r="A34">
        <v>29</v>
      </c>
      <c r="B34" s="1">
        <f t="shared" si="0"/>
        <v>137.21424822396176</v>
      </c>
      <c r="C34" s="1">
        <f t="shared" si="3"/>
        <v>1.9369431088140061</v>
      </c>
      <c r="D34" s="1">
        <f t="shared" si="1"/>
        <v>1.0660315049117468</v>
      </c>
      <c r="E34" s="1">
        <f t="shared" si="2"/>
        <v>0.10660315049117468</v>
      </c>
    </row>
    <row r="35" spans="1:5">
      <c r="A35">
        <v>30</v>
      </c>
      <c r="B35" s="1">
        <f t="shared" si="0"/>
        <v>139.08057145094162</v>
      </c>
      <c r="C35" s="1">
        <f t="shared" si="3"/>
        <v>1.8663232269798584</v>
      </c>
      <c r="D35" s="1">
        <f t="shared" si="1"/>
        <v>1.0271645817864505</v>
      </c>
      <c r="E35" s="1">
        <f t="shared" si="2"/>
        <v>0.10271645817864505</v>
      </c>
    </row>
    <row r="36" spans="1:5">
      <c r="A36">
        <v>31</v>
      </c>
      <c r="B36" s="1">
        <f t="shared" si="0"/>
        <v>140.87957013870405</v>
      </c>
      <c r="C36" s="1">
        <f t="shared" si="3"/>
        <v>1.7989986877624347</v>
      </c>
      <c r="D36" s="1">
        <f t="shared" si="1"/>
        <v>0.99011130978643558</v>
      </c>
      <c r="E36" s="1">
        <f t="shared" si="2"/>
        <v>9.9011130978643558E-2</v>
      </c>
    </row>
    <row r="37" spans="1:5">
      <c r="A37">
        <v>32</v>
      </c>
      <c r="B37" s="1">
        <f t="shared" si="0"/>
        <v>142.61432021042862</v>
      </c>
      <c r="C37" s="1">
        <f t="shared" si="3"/>
        <v>1.7347500717245623</v>
      </c>
      <c r="D37" s="1">
        <f t="shared" si="1"/>
        <v>0.95475092747490398</v>
      </c>
      <c r="E37" s="1">
        <f t="shared" si="2"/>
        <v>9.54750927474904E-2</v>
      </c>
    </row>
    <row r="38" spans="1:5">
      <c r="A38">
        <v>33</v>
      </c>
      <c r="B38" s="1">
        <f t="shared" si="0"/>
        <v>144.28769906526898</v>
      </c>
      <c r="C38" s="1">
        <f t="shared" si="3"/>
        <v>1.6733788548403652</v>
      </c>
      <c r="D38" s="1">
        <f t="shared" si="1"/>
        <v>0.92097417358078204</v>
      </c>
      <c r="E38" s="1">
        <f t="shared" si="2"/>
        <v>9.2097417358078207E-2</v>
      </c>
    </row>
    <row r="39" spans="1:5">
      <c r="A39">
        <v>34</v>
      </c>
      <c r="B39" s="1">
        <f t="shared" si="0"/>
        <v>145.90240385155312</v>
      </c>
      <c r="C39" s="1">
        <f t="shared" si="3"/>
        <v>1.6147047862841362</v>
      </c>
      <c r="D39" s="1">
        <f t="shared" si="1"/>
        <v>0.88868184381762738</v>
      </c>
      <c r="E39" s="1">
        <f t="shared" si="2"/>
        <v>8.8868184381762735E-2</v>
      </c>
    </row>
    <row r="40" spans="1:5">
      <c r="A40">
        <v>35</v>
      </c>
      <c r="B40" s="1">
        <f t="shared" si="0"/>
        <v>147.46096751947331</v>
      </c>
      <c r="C40" s="1">
        <f t="shared" si="3"/>
        <v>1.5585636679201968</v>
      </c>
      <c r="D40" s="1">
        <f t="shared" si="1"/>
        <v>0.85778356878590289</v>
      </c>
      <c r="E40" s="1">
        <f t="shared" si="2"/>
        <v>8.5778356878590284E-2</v>
      </c>
    </row>
    <row r="41" spans="1:5">
      <c r="A41">
        <v>36</v>
      </c>
      <c r="B41" s="1">
        <f t="shared" si="0"/>
        <v>148.96577298332372</v>
      </c>
      <c r="C41" s="1">
        <f t="shared" si="3"/>
        <v>1.5048054638504027</v>
      </c>
      <c r="D41" s="1">
        <f t="shared" si="1"/>
        <v>0.82819677352841836</v>
      </c>
      <c r="E41" s="1">
        <f t="shared" si="2"/>
        <v>8.2819677352841833E-2</v>
      </c>
    </row>
    <row r="42" spans="1:5">
      <c r="A42">
        <v>37</v>
      </c>
      <c r="B42" s="1">
        <f t="shared" si="0"/>
        <v>150.41906566614929</v>
      </c>
      <c r="C42" s="1">
        <f t="shared" si="3"/>
        <v>1.4532926828255768</v>
      </c>
      <c r="D42" s="1">
        <f t="shared" si="1"/>
        <v>0.79984578726134703</v>
      </c>
      <c r="E42" s="1">
        <f t="shared" si="2"/>
        <v>7.9984578726134709E-2</v>
      </c>
    </row>
    <row r="43" spans="1:5">
      <c r="A43">
        <v>38</v>
      </c>
      <c r="B43" s="1">
        <f t="shared" si="0"/>
        <v>151.82296465369234</v>
      </c>
      <c r="C43" s="1">
        <f t="shared" si="3"/>
        <v>1.4038989875430445</v>
      </c>
      <c r="D43" s="1">
        <f t="shared" si="1"/>
        <v>0.77266107797609029</v>
      </c>
      <c r="E43" s="1">
        <f t="shared" si="2"/>
        <v>7.7266107797609035E-2</v>
      </c>
    </row>
    <row r="44" spans="1:5">
      <c r="A44">
        <v>39</v>
      </c>
      <c r="B44" s="1">
        <f t="shared" si="0"/>
        <v>153.17947264732226</v>
      </c>
      <c r="C44" s="1">
        <f t="shared" si="3"/>
        <v>1.3565079936299185</v>
      </c>
      <c r="D44" s="1">
        <f t="shared" si="1"/>
        <v>0.74657859143811089</v>
      </c>
      <c r="E44" s="1">
        <f t="shared" si="2"/>
        <v>7.4657859143811095E-2</v>
      </c>
    </row>
    <row r="45" spans="1:5">
      <c r="A45">
        <v>40</v>
      </c>
      <c r="B45" s="1">
        <f t="shared" si="0"/>
        <v>154.49048487535336</v>
      </c>
      <c r="C45" s="1">
        <f t="shared" si="3"/>
        <v>1.3110122280311032</v>
      </c>
      <c r="D45" s="1">
        <f t="shared" si="1"/>
        <v>0.72153917791702216</v>
      </c>
      <c r="E45" s="1">
        <f t="shared" si="2"/>
        <v>7.2153917791702216E-2</v>
      </c>
    </row>
    <row r="46" spans="1:5">
      <c r="A46">
        <v>41</v>
      </c>
      <c r="B46" s="1">
        <f t="shared" si="0"/>
        <v>155.75779709735752</v>
      </c>
      <c r="C46" s="1">
        <f t="shared" si="3"/>
        <v>1.2673122220041648</v>
      </c>
      <c r="D46" s="1">
        <f t="shared" si="1"/>
        <v>0.69748809299998815</v>
      </c>
      <c r="E46" s="1">
        <f t="shared" si="2"/>
        <v>6.9748809299998812E-2</v>
      </c>
    </row>
    <row r="47" spans="1:5">
      <c r="A47">
        <v>42</v>
      </c>
      <c r="B47" s="1">
        <f t="shared" si="0"/>
        <v>156.98311281566748</v>
      </c>
      <c r="C47" s="1">
        <f t="shared" si="3"/>
        <v>1.2253157183099574</v>
      </c>
      <c r="D47" s="1">
        <f t="shared" si="1"/>
        <v>0.67437456125481454</v>
      </c>
      <c r="E47" s="1">
        <f t="shared" si="2"/>
        <v>6.7437456125481465E-2</v>
      </c>
    </row>
    <row r="48" spans="1:5">
      <c r="A48">
        <v>43</v>
      </c>
      <c r="B48" s="1">
        <f t="shared" si="0"/>
        <v>158.1680497913724</v>
      </c>
      <c r="C48" s="1">
        <f t="shared" si="3"/>
        <v>1.1849369757049146</v>
      </c>
      <c r="D48" s="1">
        <f t="shared" si="1"/>
        <v>0.65215139344476247</v>
      </c>
      <c r="E48" s="1">
        <f t="shared" si="2"/>
        <v>6.5215139344476244E-2</v>
      </c>
    </row>
    <row r="49" spans="1:5">
      <c r="A49">
        <v>44</v>
      </c>
      <c r="B49" s="1">
        <f t="shared" si="0"/>
        <v>159.31414594805904</v>
      </c>
      <c r="C49" s="1">
        <f t="shared" si="3"/>
        <v>1.1460961566866388</v>
      </c>
      <c r="D49" s="1">
        <f t="shared" si="1"/>
        <v>0.63077464956331197</v>
      </c>
      <c r="E49" s="1">
        <f t="shared" si="2"/>
        <v>6.3077464956331195E-2</v>
      </c>
    </row>
    <row r="50" spans="1:5">
      <c r="A50">
        <v>45</v>
      </c>
      <c r="B50" s="1">
        <f t="shared" si="0"/>
        <v>160.42286473481283</v>
      </c>
      <c r="C50" s="1">
        <f t="shared" si="3"/>
        <v>1.1087187867537978</v>
      </c>
      <c r="D50" s="1">
        <f t="shared" si="1"/>
        <v>0.61020334122811415</v>
      </c>
      <c r="E50" s="1">
        <f t="shared" si="2"/>
        <v>6.1020334122811416E-2</v>
      </c>
    </row>
    <row r="51" spans="1:5">
      <c r="A51">
        <v>46</v>
      </c>
      <c r="B51" s="1">
        <f t="shared" si="0"/>
        <v>161.49560001014316</v>
      </c>
      <c r="C51" s="1">
        <f t="shared" si="3"/>
        <v>1.0727352753303308</v>
      </c>
      <c r="D51" s="1">
        <f t="shared" si="1"/>
        <v>0.59039916801300341</v>
      </c>
      <c r="E51" s="1">
        <f t="shared" si="2"/>
        <v>5.9039916801300336E-2</v>
      </c>
    </row>
    <row r="52" spans="1:5">
      <c r="A52">
        <v>47</v>
      </c>
      <c r="B52" s="1">
        <f t="shared" si="0"/>
        <v>162.53368050019196</v>
      </c>
      <c r="C52" s="1">
        <f t="shared" si="3"/>
        <v>1.0380804900487988</v>
      </c>
      <c r="D52" s="1">
        <f t="shared" si="1"/>
        <v>0.57132628314717726</v>
      </c>
      <c r="E52" s="1">
        <f t="shared" si="2"/>
        <v>5.7132628314717729E-2</v>
      </c>
    </row>
    <row r="53" spans="1:5">
      <c r="A53">
        <v>48</v>
      </c>
      <c r="B53" s="1">
        <f t="shared" si="0"/>
        <v>163.5383738775611</v>
      </c>
      <c r="C53" s="1">
        <f t="shared" si="3"/>
        <v>1.0046933773691364</v>
      </c>
      <c r="D53" s="1">
        <f t="shared" si="1"/>
        <v>0.55295108471589682</v>
      </c>
      <c r="E53" s="1">
        <f t="shared" si="2"/>
        <v>5.529510847158968E-2</v>
      </c>
    </row>
    <row r="54" spans="1:5">
      <c r="A54">
        <v>49</v>
      </c>
      <c r="B54" s="1">
        <f t="shared" si="0"/>
        <v>164.51089050112222</v>
      </c>
      <c r="C54" s="1">
        <f t="shared" si="3"/>
        <v>0.97251662356111979</v>
      </c>
      <c r="D54" s="1">
        <f t="shared" si="1"/>
        <v>0.53524202907608631</v>
      </c>
      <c r="E54" s="1">
        <f t="shared" si="2"/>
        <v>5.3524202907608634E-2</v>
      </c>
    </row>
    <row r="55" spans="1:5">
      <c r="A55">
        <v>50</v>
      </c>
      <c r="B55" s="1">
        <f t="shared" si="0"/>
        <v>165.45238685208574</v>
      </c>
      <c r="C55" s="1">
        <f t="shared" si="3"/>
        <v>0.94149635096351858</v>
      </c>
      <c r="D55" s="1">
        <f t="shared" si="1"/>
        <v>0.51816946368708972</v>
      </c>
      <c r="E55" s="1">
        <f t="shared" si="2"/>
        <v>5.1816946368708969E-2</v>
      </c>
    </row>
    <row r="56" spans="1:5">
      <c r="A56">
        <v>51</v>
      </c>
      <c r="B56" s="1">
        <f t="shared" si="0"/>
        <v>166.36396869724882</v>
      </c>
      <c r="C56" s="1">
        <f t="shared" si="3"/>
        <v>0.91158184516308438</v>
      </c>
      <c r="D56" s="1">
        <f t="shared" si="1"/>
        <v>0.50170547695871637</v>
      </c>
      <c r="E56" s="1">
        <f t="shared" si="2"/>
        <v>5.0170547695871634E-2</v>
      </c>
    </row>
    <row r="57" spans="1:5">
      <c r="A57">
        <v>52</v>
      </c>
      <c r="B57" s="1">
        <f t="shared" si="0"/>
        <v>167.24669400660434</v>
      </c>
      <c r="C57" s="1">
        <f t="shared" si="3"/>
        <v>0.8827253093555214</v>
      </c>
      <c r="D57" s="1">
        <f t="shared" si="1"/>
        <v>0.48582376305937952</v>
      </c>
      <c r="E57" s="1">
        <f t="shared" si="2"/>
        <v>4.8582376305937952E-2</v>
      </c>
    </row>
    <row r="58" spans="1:5">
      <c r="A58">
        <v>53</v>
      </c>
      <c r="B58" s="1">
        <f t="shared" si="0"/>
        <v>168.10157564927161</v>
      </c>
      <c r="C58" s="1">
        <f t="shared" si="3"/>
        <v>0.85488164266726585</v>
      </c>
      <c r="D58" s="1">
        <f t="shared" si="1"/>
        <v>0.47049949991149775</v>
      </c>
      <c r="E58" s="1">
        <f t="shared" si="2"/>
        <v>4.7049949991149774E-2</v>
      </c>
    </row>
    <row r="59" spans="1:5">
      <c r="A59">
        <v>54</v>
      </c>
      <c r="B59" s="1">
        <f t="shared" si="0"/>
        <v>168.92958388892683</v>
      </c>
      <c r="C59" s="1">
        <f t="shared" si="3"/>
        <v>0.82800823965521886</v>
      </c>
      <c r="D59" s="1">
        <f t="shared" si="1"/>
        <v>0.45570923884256348</v>
      </c>
      <c r="E59" s="1">
        <f t="shared" si="2"/>
        <v>4.5570923884256348E-2</v>
      </c>
    </row>
    <row r="60" spans="1:5">
      <c r="A60">
        <v>55</v>
      </c>
      <c r="B60" s="1">
        <f t="shared" si="0"/>
        <v>169.73164869749945</v>
      </c>
      <c r="C60" s="1">
        <f t="shared" si="3"/>
        <v>0.80206480857262363</v>
      </c>
      <c r="D60" s="1">
        <f t="shared" si="1"/>
        <v>0.44143080456449774</v>
      </c>
      <c r="E60" s="1">
        <f t="shared" si="2"/>
        <v>4.4143080456449768E-2</v>
      </c>
    </row>
    <row r="61" spans="1:5">
      <c r="A61">
        <v>56</v>
      </c>
      <c r="B61" s="1">
        <f t="shared" si="0"/>
        <v>170.50866190380506</v>
      </c>
      <c r="C61" s="1">
        <f t="shared" si="3"/>
        <v>0.77701320630561099</v>
      </c>
      <c r="D61" s="1">
        <f t="shared" si="1"/>
        <v>0.42764320432800645</v>
      </c>
      <c r="E61" s="1">
        <f t="shared" si="2"/>
        <v>4.2764320432800644E-2</v>
      </c>
    </row>
    <row r="62" spans="1:5">
      <c r="A62">
        <v>57</v>
      </c>
      <c r="B62" s="1">
        <f t="shared" si="0"/>
        <v>171.26147919195725</v>
      </c>
      <c r="C62" s="1">
        <f t="shared" si="3"/>
        <v>0.75281728815218685</v>
      </c>
      <c r="D62" s="1">
        <f t="shared" si="1"/>
        <v>0.41432654524574275</v>
      </c>
      <c r="E62" s="1">
        <f t="shared" si="2"/>
        <v>4.1432654524574272E-2</v>
      </c>
    </row>
    <row r="63" spans="1:5">
      <c r="A63">
        <v>58</v>
      </c>
      <c r="B63" s="1">
        <f t="shared" si="0"/>
        <v>171.99092196280611</v>
      </c>
      <c r="C63" s="1">
        <f t="shared" si="3"/>
        <v>0.72944277084886266</v>
      </c>
      <c r="D63" s="1">
        <f t="shared" si="1"/>
        <v>0.4014619589065469</v>
      </c>
      <c r="E63" s="1">
        <f t="shared" si="2"/>
        <v>4.0146195890654691E-2</v>
      </c>
    </row>
    <row r="64" spans="1:5">
      <c r="A64">
        <v>59</v>
      </c>
      <c r="B64" s="1">
        <f t="shared" si="0"/>
        <v>172.69777907025053</v>
      </c>
      <c r="C64" s="1">
        <f t="shared" si="3"/>
        <v>0.70685710744442076</v>
      </c>
      <c r="D64" s="1">
        <f t="shared" si="1"/>
        <v>0.38903153250997097</v>
      </c>
      <c r="E64" s="1">
        <f t="shared" si="2"/>
        <v>3.8903153250997094E-2</v>
      </c>
    </row>
    <row r="65" spans="1:5">
      <c r="A65">
        <v>60</v>
      </c>
      <c r="B65" s="1">
        <f t="shared" si="0"/>
        <v>173.38280844304495</v>
      </c>
      <c r="C65" s="1">
        <f t="shared" si="3"/>
        <v>0.68502937279441767</v>
      </c>
      <c r="D65" s="1">
        <f t="shared" si="1"/>
        <v>0.37701824584611804</v>
      </c>
      <c r="E65" s="1">
        <f t="shared" si="2"/>
        <v>3.7701824584611805E-2</v>
      </c>
    </row>
    <row r="66" spans="1:5">
      <c r="A66">
        <v>61</v>
      </c>
      <c r="B66" s="1">
        <f t="shared" si="0"/>
        <v>174.04673860163723</v>
      </c>
      <c r="C66" s="1">
        <f t="shared" si="3"/>
        <v>0.66393015859227944</v>
      </c>
      <c r="D66" s="1">
        <f t="shared" si="1"/>
        <v>0.36540591352411567</v>
      </c>
      <c r="E66" s="1">
        <f t="shared" si="2"/>
        <v>3.6540591352411562E-2</v>
      </c>
    </row>
    <row r="67" spans="1:5">
      <c r="A67">
        <v>62</v>
      </c>
      <c r="B67" s="1">
        <f t="shared" si="0"/>
        <v>174.69027007862275</v>
      </c>
      <c r="C67" s="1">
        <f t="shared" si="3"/>
        <v>0.64353147698551538</v>
      </c>
      <c r="D67" s="1">
        <f t="shared" si="1"/>
        <v>0.35417913192556411</v>
      </c>
      <c r="E67" s="1">
        <f t="shared" si="2"/>
        <v>3.5417913192556411E-2</v>
      </c>
    </row>
    <row r="68" spans="1:5">
      <c r="A68">
        <v>63</v>
      </c>
      <c r="B68" s="1">
        <f t="shared" si="0"/>
        <v>175.31407675055317</v>
      </c>
      <c r="C68" s="1">
        <f t="shared" si="3"/>
        <v>0.62380667193042427</v>
      </c>
      <c r="D68" s="1">
        <f t="shared" si="1"/>
        <v>0.34332323041700374</v>
      </c>
      <c r="E68" s="1">
        <f t="shared" si="2"/>
        <v>3.433232304170037E-2</v>
      </c>
    </row>
    <row r="69" spans="1:5">
      <c r="A69">
        <v>64</v>
      </c>
      <c r="B69" s="1">
        <f t="shared" si="0"/>
        <v>175.91880708809214</v>
      </c>
      <c r="C69" s="1">
        <f t="shared" si="3"/>
        <v>0.60473033753896743</v>
      </c>
      <c r="D69" s="1">
        <f t="shared" si="1"/>
        <v>0.33282422641064646</v>
      </c>
      <c r="E69" s="1">
        <f t="shared" si="2"/>
        <v>3.3282422641064645E-2</v>
      </c>
    </row>
    <row r="70" spans="1:5">
      <c r="A70">
        <v>65</v>
      </c>
      <c r="B70" s="1">
        <f t="shared" si="0"/>
        <v>176.50508533084445</v>
      </c>
      <c r="C70" s="1">
        <f t="shared" si="3"/>
        <v>0.58627824275231433</v>
      </c>
      <c r="D70" s="1">
        <f t="shared" si="1"/>
        <v>0.32266878390710568</v>
      </c>
      <c r="E70" s="1">
        <f t="shared" si="2"/>
        <v>3.2266878390710567E-2</v>
      </c>
    </row>
    <row r="71" spans="1:5">
      <c r="A71">
        <v>66</v>
      </c>
      <c r="B71" s="1">
        <f t="shared" ref="B71:B105" si="4">$J$5*(1-$I$5*EXP(-$K$5*A71))^(1/1-$L$5)</f>
        <v>177.07351259259485</v>
      </c>
      <c r="C71" s="1">
        <f t="shared" si="3"/>
        <v>0.5684272617504007</v>
      </c>
      <c r="D71" s="1">
        <f t="shared" ref="D71:D105" si="5">C71*$I$9*(1+$K$9)*$L$9*$M$9</f>
        <v>0.31284417519504448</v>
      </c>
      <c r="E71" s="1">
        <f t="shared" ref="E71:E105" si="6">D71/10000*1000</f>
        <v>3.1284417519504448E-2</v>
      </c>
    </row>
    <row r="72" spans="1:5">
      <c r="A72">
        <v>67</v>
      </c>
      <c r="B72" s="1">
        <f t="shared" si="4"/>
        <v>177.62466790216467</v>
      </c>
      <c r="C72" s="1">
        <f t="shared" ref="C72:C105" si="7">B72-B71</f>
        <v>0.55115530956982184</v>
      </c>
      <c r="D72" s="1">
        <f t="shared" si="5"/>
        <v>0.30333824541732374</v>
      </c>
      <c r="E72" s="1">
        <f t="shared" si="6"/>
        <v>3.0333824541732373E-2</v>
      </c>
    </row>
    <row r="73" spans="1:5">
      <c r="A73">
        <v>68</v>
      </c>
      <c r="B73" s="1">
        <f t="shared" si="4"/>
        <v>178.15910918462404</v>
      </c>
      <c r="C73" s="1">
        <f t="shared" si="7"/>
        <v>0.53444128245936895</v>
      </c>
      <c r="D73" s="1">
        <f t="shared" si="5"/>
        <v>0.29413937974459797</v>
      </c>
      <c r="E73" s="1">
        <f t="shared" si="6"/>
        <v>2.9413937974459799E-2</v>
      </c>
    </row>
    <row r="74" spans="1:5">
      <c r="A74">
        <v>69</v>
      </c>
      <c r="B74" s="1">
        <f t="shared" si="4"/>
        <v>178.67737418717508</v>
      </c>
      <c r="C74" s="1">
        <f t="shared" si="7"/>
        <v>0.51826500255103269</v>
      </c>
      <c r="D74" s="1">
        <f t="shared" si="5"/>
        <v>0.28523647292400678</v>
      </c>
      <c r="E74" s="1">
        <f t="shared" si="6"/>
        <v>2.8523647292400676E-2</v>
      </c>
    </row>
    <row r="75" spans="1:5">
      <c r="A75">
        <v>70</v>
      </c>
      <c r="B75" s="1">
        <f t="shared" si="4"/>
        <v>179.17998135364445</v>
      </c>
      <c r="C75" s="1">
        <f t="shared" si="7"/>
        <v>0.50260716646937453</v>
      </c>
      <c r="D75" s="1">
        <f t="shared" si="5"/>
        <v>0.27661890099541669</v>
      </c>
      <c r="E75" s="1">
        <f t="shared" si="6"/>
        <v>2.7661890099541668E-2</v>
      </c>
    </row>
    <row r="76" spans="1:5">
      <c r="A76">
        <v>71</v>
      </c>
      <c r="B76" s="1">
        <f t="shared" si="4"/>
        <v>179.66743065118308</v>
      </c>
      <c r="C76" s="1">
        <f t="shared" si="7"/>
        <v>0.48744929753863175</v>
      </c>
      <c r="D76" s="1">
        <f t="shared" si="5"/>
        <v>0.26827649498774164</v>
      </c>
      <c r="E76" s="1">
        <f t="shared" si="6"/>
        <v>2.6827649498774163E-2</v>
      </c>
    </row>
    <row r="77" spans="1:5">
      <c r="A77">
        <v>72</v>
      </c>
      <c r="B77" s="1">
        <f t="shared" si="4"/>
        <v>180.1402043524661</v>
      </c>
      <c r="C77" s="1">
        <f t="shared" si="7"/>
        <v>0.47277370128301754</v>
      </c>
      <c r="D77" s="1">
        <f t="shared" si="5"/>
        <v>0.26019951642773176</v>
      </c>
      <c r="E77" s="1">
        <f t="shared" si="6"/>
        <v>2.6019951642773174E-2</v>
      </c>
    </row>
    <row r="78" spans="1:5">
      <c r="A78">
        <v>73</v>
      </c>
      <c r="B78" s="1">
        <f t="shared" si="4"/>
        <v>180.59876777641065</v>
      </c>
      <c r="C78" s="1">
        <f t="shared" si="7"/>
        <v>0.45856342394455396</v>
      </c>
      <c r="D78" s="1">
        <f t="shared" si="5"/>
        <v>0.25237863450951625</v>
      </c>
      <c r="E78" s="1">
        <f t="shared" si="6"/>
        <v>2.5237863450951626E-2</v>
      </c>
    </row>
    <row r="79" spans="1:5">
      <c r="A79">
        <v>74</v>
      </c>
      <c r="B79" s="1">
        <f t="shared" si="4"/>
        <v>181.04356999018012</v>
      </c>
      <c r="C79" s="1">
        <f t="shared" si="7"/>
        <v>0.44480221376946361</v>
      </c>
      <c r="D79" s="1">
        <f t="shared" si="5"/>
        <v>0.24480490478787212</v>
      </c>
      <c r="E79" s="1">
        <f t="shared" si="6"/>
        <v>2.4480490478787212E-2</v>
      </c>
    </row>
    <row r="80" spans="1:5">
      <c r="A80">
        <v>75</v>
      </c>
      <c r="B80" s="1">
        <f t="shared" si="4"/>
        <v>181.47504447502018</v>
      </c>
      <c r="C80" s="1">
        <f t="shared" si="7"/>
        <v>0.43147448484006645</v>
      </c>
      <c r="D80" s="1">
        <f t="shared" si="5"/>
        <v>0.2374697492724577</v>
      </c>
      <c r="E80" s="1">
        <f t="shared" si="6"/>
        <v>2.374697492724577E-2</v>
      </c>
    </row>
    <row r="81" spans="1:5">
      <c r="A81">
        <v>76</v>
      </c>
      <c r="B81" s="1">
        <f t="shared" si="4"/>
        <v>181.89360975826676</v>
      </c>
      <c r="C81" s="1">
        <f t="shared" si="7"/>
        <v>0.41856528324657916</v>
      </c>
      <c r="D81" s="1">
        <f t="shared" si="5"/>
        <v>0.23036493780985329</v>
      </c>
      <c r="E81" s="1">
        <f t="shared" si="6"/>
        <v>2.303649378098533E-2</v>
      </c>
    </row>
    <row r="82" spans="1:5">
      <c r="A82">
        <v>77</v>
      </c>
      <c r="B82" s="1">
        <f t="shared" si="4"/>
        <v>182.29967001368345</v>
      </c>
      <c r="C82" s="1">
        <f t="shared" si="7"/>
        <v>0.40606025541669055</v>
      </c>
      <c r="D82" s="1">
        <f t="shared" si="5"/>
        <v>0.22348257065317312</v>
      </c>
      <c r="E82" s="1">
        <f t="shared" si="6"/>
        <v>2.2348257065317314E-2</v>
      </c>
    </row>
    <row r="83" spans="1:5">
      <c r="A83">
        <v>78</v>
      </c>
      <c r="B83" s="1">
        <f t="shared" si="4"/>
        <v>182.69361563211768</v>
      </c>
      <c r="C83" s="1">
        <f t="shared" si="7"/>
        <v>0.39394561843423048</v>
      </c>
      <c r="D83" s="1">
        <f t="shared" si="5"/>
        <v>0.21681506212641055</v>
      </c>
      <c r="E83" s="1">
        <f t="shared" si="6"/>
        <v>2.1681506212641054E-2</v>
      </c>
    </row>
    <row r="84" spans="1:5">
      <c r="A84">
        <v>79</v>
      </c>
      <c r="B84" s="1">
        <f t="shared" si="4"/>
        <v>183.07582376431208</v>
      </c>
      <c r="C84" s="1">
        <f t="shared" si="7"/>
        <v>0.38220813219439265</v>
      </c>
      <c r="D84" s="1">
        <f t="shared" si="5"/>
        <v>0.21035512529956349</v>
      </c>
      <c r="E84" s="1">
        <f t="shared" si="6"/>
        <v>2.1035512529956349E-2</v>
      </c>
    </row>
    <row r="85" spans="1:5">
      <c r="A85">
        <v>80</v>
      </c>
      <c r="B85" s="1">
        <f t="shared" si="4"/>
        <v>183.44665883757079</v>
      </c>
      <c r="C85" s="1">
        <f t="shared" si="7"/>
        <v>0.37083507325871778</v>
      </c>
      <c r="D85" s="1">
        <f t="shared" si="5"/>
        <v>0.20409575759925397</v>
      </c>
      <c r="E85" s="1">
        <f t="shared" si="6"/>
        <v>2.0409575759925396E-2</v>
      </c>
    </row>
    <row r="86" spans="1:5">
      <c r="A86">
        <v>81</v>
      </c>
      <c r="B86" s="1">
        <f t="shared" si="4"/>
        <v>183.80647304785234</v>
      </c>
      <c r="C86" s="1">
        <f t="shared" si="7"/>
        <v>0.35981421028154159</v>
      </c>
      <c r="D86" s="1">
        <f t="shared" si="5"/>
        <v>0.1980302272842315</v>
      </c>
      <c r="E86" s="1">
        <f t="shared" si="6"/>
        <v>1.9803022728423152E-2</v>
      </c>
    </row>
    <row r="87" spans="1:5">
      <c r="A87">
        <v>82</v>
      </c>
      <c r="B87" s="1">
        <f t="shared" si="4"/>
        <v>184.15560682874593</v>
      </c>
      <c r="C87" s="1">
        <f t="shared" si="7"/>
        <v>0.34913378089359526</v>
      </c>
      <c r="D87" s="1">
        <f t="shared" si="5"/>
        <v>0.19215206072284621</v>
      </c>
      <c r="E87" s="1">
        <f t="shared" si="6"/>
        <v>1.9215206072284621E-2</v>
      </c>
    </row>
    <row r="88" spans="1:5">
      <c r="A88">
        <v>83</v>
      </c>
      <c r="B88" s="1">
        <f t="shared" si="4"/>
        <v>184.49438929868342</v>
      </c>
      <c r="C88" s="1">
        <f t="shared" si="7"/>
        <v>0.33878246993748462</v>
      </c>
      <c r="D88" s="1">
        <f t="shared" si="5"/>
        <v>0.18645503041455352</v>
      </c>
      <c r="E88" s="1">
        <f t="shared" si="6"/>
        <v>1.8645503041455354E-2</v>
      </c>
    </row>
    <row r="89" spans="1:5">
      <c r="A89">
        <v>84</v>
      </c>
      <c r="B89" s="1">
        <f t="shared" si="4"/>
        <v>184.82313868764166</v>
      </c>
      <c r="C89" s="1">
        <f t="shared" si="7"/>
        <v>0.32874938895824357</v>
      </c>
      <c r="D89" s="1">
        <f t="shared" si="5"/>
        <v>0.18093314370217059</v>
      </c>
      <c r="E89" s="1">
        <f t="shared" si="6"/>
        <v>1.8093314370217058E-2</v>
      </c>
    </row>
    <row r="90" spans="1:5">
      <c r="A90">
        <v>85</v>
      </c>
      <c r="B90" s="1">
        <f t="shared" si="4"/>
        <v>185.14216274450209</v>
      </c>
      <c r="C90" s="1">
        <f t="shared" si="7"/>
        <v>0.31902405686042812</v>
      </c>
      <c r="D90" s="1">
        <f t="shared" si="5"/>
        <v>0.17558063212616007</v>
      </c>
      <c r="E90" s="1">
        <f t="shared" si="6"/>
        <v>1.7558063212616007E-2</v>
      </c>
    </row>
    <row r="91" spans="1:5">
      <c r="A91">
        <v>86</v>
      </c>
      <c r="B91" s="1">
        <f t="shared" si="4"/>
        <v>185.45175912615375</v>
      </c>
      <c r="C91" s="1">
        <f t="shared" si="7"/>
        <v>0.3095963816516587</v>
      </c>
      <c r="D91" s="1">
        <f t="shared" si="5"/>
        <v>0.17039194137686009</v>
      </c>
      <c r="E91" s="1">
        <f t="shared" si="6"/>
        <v>1.7039194137686009E-2</v>
      </c>
    </row>
    <row r="92" spans="1:5">
      <c r="A92">
        <v>87</v>
      </c>
      <c r="B92" s="1">
        <f t="shared" si="4"/>
        <v>185.75221576935056</v>
      </c>
      <c r="C92" s="1">
        <f t="shared" si="7"/>
        <v>0.30045664319681009</v>
      </c>
      <c r="D92" s="1">
        <f t="shared" si="5"/>
        <v>0.16536172180294198</v>
      </c>
      <c r="E92" s="1">
        <f t="shared" si="6"/>
        <v>1.6536172180294198E-2</v>
      </c>
    </row>
    <row r="93" spans="1:5">
      <c r="A93">
        <v>88</v>
      </c>
      <c r="B93" s="1">
        <f t="shared" si="4"/>
        <v>186.04381124626644</v>
      </c>
      <c r="C93" s="1">
        <f t="shared" si="7"/>
        <v>0.29159547691588728</v>
      </c>
      <c r="D93" s="1">
        <f t="shared" si="5"/>
        <v>0.16048481943924306</v>
      </c>
      <c r="E93" s="1">
        <f t="shared" si="6"/>
        <v>1.6048481943924307E-2</v>
      </c>
    </row>
    <row r="94" spans="1:5">
      <c r="A94">
        <v>89</v>
      </c>
      <c r="B94" s="1">
        <f t="shared" si="4"/>
        <v>186.32681510462783</v>
      </c>
      <c r="C94" s="1">
        <f t="shared" si="7"/>
        <v>0.28300385836138275</v>
      </c>
      <c r="D94" s="1">
        <f t="shared" si="5"/>
        <v>0.1557562675186375</v>
      </c>
      <c r="E94" s="1">
        <f t="shared" si="6"/>
        <v>1.5575626751863749E-2</v>
      </c>
    </row>
    <row r="95" spans="1:5">
      <c r="A95">
        <v>90</v>
      </c>
      <c r="B95" s="1">
        <f t="shared" si="4"/>
        <v>186.60148819324596</v>
      </c>
      <c r="C95" s="1">
        <f t="shared" si="7"/>
        <v>0.27467308861812967</v>
      </c>
      <c r="D95" s="1">
        <f t="shared" si="5"/>
        <v>0.15117127843658279</v>
      </c>
      <c r="E95" s="1">
        <f t="shared" si="6"/>
        <v>1.5117127843658278E-2</v>
      </c>
    </row>
    <row r="96" spans="1:5">
      <c r="A96">
        <v>91</v>
      </c>
      <c r="B96" s="1">
        <f t="shared" si="4"/>
        <v>186.86808297371743</v>
      </c>
      <c r="C96" s="1">
        <f t="shared" si="7"/>
        <v>0.266594780471479</v>
      </c>
      <c r="D96" s="1">
        <f t="shared" si="5"/>
        <v>0.14672523613852695</v>
      </c>
      <c r="E96" s="1">
        <f t="shared" si="6"/>
        <v>1.4672523613852696E-2</v>
      </c>
    </row>
    <row r="97" spans="1:5">
      <c r="A97">
        <v>92</v>
      </c>
      <c r="B97" s="1">
        <f t="shared" si="4"/>
        <v>187.12684381901201</v>
      </c>
      <c r="C97" s="1">
        <f t="shared" si="7"/>
        <v>0.25876084529457444</v>
      </c>
      <c r="D97" s="1">
        <f t="shared" si="5"/>
        <v>0.14241368890308434</v>
      </c>
      <c r="E97" s="1">
        <f t="shared" si="6"/>
        <v>1.4241368890308434E-2</v>
      </c>
    </row>
    <row r="98" spans="1:5">
      <c r="A98">
        <v>93</v>
      </c>
      <c r="B98" s="1">
        <f t="shared" si="4"/>
        <v>187.37800729962166</v>
      </c>
      <c r="C98" s="1">
        <f t="shared" si="7"/>
        <v>0.2511634806096481</v>
      </c>
      <c r="D98" s="1">
        <f t="shared" si="5"/>
        <v>0.13823234249617081</v>
      </c>
      <c r="E98" s="1">
        <f t="shared" si="6"/>
        <v>1.3823234249617081E-2</v>
      </c>
    </row>
    <row r="99" spans="1:5">
      <c r="A99">
        <v>94</v>
      </c>
      <c r="B99" s="1">
        <f t="shared" si="4"/>
        <v>187.62180245790162</v>
      </c>
      <c r="C99" s="1">
        <f t="shared" si="7"/>
        <v>0.24379515827996556</v>
      </c>
      <c r="D99" s="1">
        <f t="shared" si="5"/>
        <v>0.13417705367222807</v>
      </c>
      <c r="E99" s="1">
        <f t="shared" si="6"/>
        <v>1.3417705367222806E-2</v>
      </c>
    </row>
    <row r="100" spans="1:5">
      <c r="A100">
        <v>95</v>
      </c>
      <c r="B100" s="1">
        <f t="shared" si="4"/>
        <v>187.85845107119661</v>
      </c>
      <c r="C100" s="1">
        <f t="shared" si="7"/>
        <v>0.23664861329498876</v>
      </c>
      <c r="D100" s="1">
        <f t="shared" si="5"/>
        <v>0.13024382400193635</v>
      </c>
      <c r="E100" s="1">
        <f t="shared" si="6"/>
        <v>1.3024382400193634E-2</v>
      </c>
    </row>
    <row r="101" spans="1:5">
      <c r="A101">
        <v>96</v>
      </c>
      <c r="B101" s="1">
        <f t="shared" si="4"/>
        <v>188.08816790430711</v>
      </c>
      <c r="C101" s="1">
        <f t="shared" si="7"/>
        <v>0.22971683311050128</v>
      </c>
      <c r="D101" s="1">
        <f t="shared" si="5"/>
        <v>0.12642879400536036</v>
      </c>
      <c r="E101" s="1">
        <f t="shared" si="6"/>
        <v>1.2642879400536036E-2</v>
      </c>
    </row>
    <row r="102" spans="1:5">
      <c r="A102">
        <v>97</v>
      </c>
      <c r="B102" s="1">
        <f t="shared" si="4"/>
        <v>188.31116095181949</v>
      </c>
      <c r="C102" s="1">
        <f t="shared" si="7"/>
        <v>0.22299304751237514</v>
      </c>
      <c r="D102" s="1">
        <f t="shared" si="5"/>
        <v>0.12272823757329086</v>
      </c>
      <c r="E102" s="1">
        <f t="shared" si="6"/>
        <v>1.2272823757329087E-2</v>
      </c>
    </row>
    <row r="103" spans="1:5">
      <c r="A103">
        <v>98</v>
      </c>
      <c r="B103" s="1">
        <f t="shared" si="4"/>
        <v>188.52763167079019</v>
      </c>
      <c r="C103" s="1">
        <f t="shared" si="7"/>
        <v>0.21647071897069736</v>
      </c>
      <c r="D103" s="1">
        <f t="shared" si="5"/>
        <v>0.11913855665846475</v>
      </c>
      <c r="E103" s="1">
        <f t="shared" si="6"/>
        <v>1.1913855665846476E-2</v>
      </c>
    </row>
    <row r="104" spans="1:5">
      <c r="A104">
        <v>99</v>
      </c>
      <c r="B104" s="1">
        <f t="shared" si="4"/>
        <v>188.7377752042473</v>
      </c>
      <c r="C104" s="1">
        <f t="shared" si="7"/>
        <v>0.21014353345711356</v>
      </c>
      <c r="D104" s="1">
        <f t="shared" si="5"/>
        <v>0.11565627622172467</v>
      </c>
      <c r="E104" s="1">
        <f t="shared" si="6"/>
        <v>1.1565627622172467E-2</v>
      </c>
    </row>
    <row r="105" spans="1:5">
      <c r="A105">
        <v>100</v>
      </c>
      <c r="B105" s="1">
        <f t="shared" si="4"/>
        <v>188.94178059594381</v>
      </c>
      <c r="C105" s="1">
        <f t="shared" si="7"/>
        <v>0.20400539169651211</v>
      </c>
      <c r="D105" s="1">
        <f t="shared" si="5"/>
        <v>0.11227803941722597</v>
      </c>
      <c r="E105" s="1">
        <f t="shared" si="6"/>
        <v>1.1227803941722597E-2</v>
      </c>
    </row>
  </sheetData>
  <mergeCells count="12">
    <mergeCell ref="G21:G22"/>
    <mergeCell ref="G23:G24"/>
    <mergeCell ref="M7:M8"/>
    <mergeCell ref="I14:J14"/>
    <mergeCell ref="I15:J15"/>
    <mergeCell ref="I16:J16"/>
    <mergeCell ref="L7:L8"/>
    <mergeCell ref="A1:E1"/>
    <mergeCell ref="A4:E4"/>
    <mergeCell ref="H7:H8"/>
    <mergeCell ref="I7:J7"/>
    <mergeCell ref="K7:K8"/>
  </mergeCells>
  <phoneticPr fontId="18"/>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11"/>
  <sheetViews>
    <sheetView workbookViewId="0">
      <selection activeCell="R20" sqref="R20"/>
    </sheetView>
  </sheetViews>
  <sheetFormatPr defaultColWidth="12.8984375" defaultRowHeight="14.4"/>
  <cols>
    <col min="2" max="2" width="21.59765625" customWidth="1"/>
    <col min="4" max="4" width="39.09765625" customWidth="1"/>
    <col min="6" max="6" width="36.8984375" customWidth="1"/>
  </cols>
  <sheetData>
    <row r="1" spans="1:7">
      <c r="A1" t="s">
        <v>102</v>
      </c>
      <c r="B1" t="s">
        <v>103</v>
      </c>
      <c r="C1" t="s">
        <v>104</v>
      </c>
      <c r="D1" t="s">
        <v>105</v>
      </c>
      <c r="E1" t="s">
        <v>207</v>
      </c>
      <c r="F1" t="s">
        <v>208</v>
      </c>
      <c r="G1" t="s">
        <v>106</v>
      </c>
    </row>
    <row r="2" spans="1:7">
      <c r="B2" t="s">
        <v>107</v>
      </c>
    </row>
    <row r="3" spans="1:7">
      <c r="B3" s="117" t="s">
        <v>430</v>
      </c>
    </row>
    <row r="4" spans="1:7">
      <c r="B4" s="40" t="s">
        <v>108</v>
      </c>
    </row>
    <row r="5" spans="1:7">
      <c r="B5" t="s">
        <v>244</v>
      </c>
    </row>
    <row r="6" spans="1:7">
      <c r="B6" t="s">
        <v>209</v>
      </c>
    </row>
    <row r="10" spans="1:7">
      <c r="B10" t="s">
        <v>205</v>
      </c>
    </row>
    <row r="11" spans="1:7">
      <c r="B11" t="s">
        <v>206</v>
      </c>
    </row>
  </sheetData>
  <phoneticPr fontId="18"/>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C42"/>
  <sheetViews>
    <sheetView zoomScaleNormal="100" zoomScaleSheetLayoutView="100" workbookViewId="0"/>
  </sheetViews>
  <sheetFormatPr defaultColWidth="9" defaultRowHeight="13.2"/>
  <cols>
    <col min="1" max="1" width="1.296875" style="879" customWidth="1"/>
    <col min="2" max="2" width="4.19921875" style="879" customWidth="1"/>
    <col min="3" max="3" width="148.59765625" style="879" customWidth="1"/>
    <col min="4" max="16384" width="9" style="879"/>
  </cols>
  <sheetData>
    <row r="1" spans="1:3" ht="16.2">
      <c r="A1" s="839" t="s">
        <v>1268</v>
      </c>
      <c r="B1" s="839"/>
      <c r="C1" s="840"/>
    </row>
    <row r="2" spans="1:3" ht="11.4" customHeight="1">
      <c r="A2" s="405"/>
      <c r="B2" s="839"/>
      <c r="C2" s="840"/>
    </row>
    <row r="3" spans="1:3">
      <c r="A3" s="405"/>
      <c r="B3" s="938" t="s">
        <v>1300</v>
      </c>
      <c r="C3" s="840"/>
    </row>
    <row r="4" spans="1:3">
      <c r="A4" s="405"/>
      <c r="B4" s="939" t="s">
        <v>1316</v>
      </c>
      <c r="C4" s="840"/>
    </row>
    <row r="5" spans="1:3">
      <c r="A5" s="405"/>
      <c r="B5" s="939" t="s">
        <v>1317</v>
      </c>
      <c r="C5" s="840"/>
    </row>
    <row r="6" spans="1:3" s="880" customFormat="1" ht="12.75" customHeight="1">
      <c r="A6" s="434"/>
      <c r="B6" s="841"/>
      <c r="C6" s="841"/>
    </row>
    <row r="7" spans="1:3" s="880" customFormat="1" ht="12.75" customHeight="1">
      <c r="A7" s="434"/>
      <c r="B7" s="938" t="s">
        <v>1301</v>
      </c>
      <c r="C7" s="940"/>
    </row>
    <row r="8" spans="1:3" s="881" customFormat="1" ht="16.2" customHeight="1">
      <c r="A8" s="838"/>
      <c r="B8" s="842" t="s">
        <v>1078</v>
      </c>
      <c r="C8" s="843" t="s">
        <v>1079</v>
      </c>
    </row>
    <row r="9" spans="1:3" s="881" customFormat="1" ht="16.2" customHeight="1">
      <c r="A9" s="838"/>
      <c r="B9" s="842" t="s">
        <v>1080</v>
      </c>
      <c r="C9" s="843" t="s">
        <v>1081</v>
      </c>
    </row>
    <row r="10" spans="1:3" s="881" customFormat="1" ht="16.2" customHeight="1">
      <c r="A10" s="838"/>
      <c r="B10" s="842" t="s">
        <v>1082</v>
      </c>
      <c r="C10" s="844" t="s">
        <v>1207</v>
      </c>
    </row>
    <row r="11" spans="1:3" s="881" customFormat="1" ht="16.2" customHeight="1">
      <c r="A11" s="838"/>
      <c r="B11" s="842" t="s">
        <v>1083</v>
      </c>
      <c r="C11" s="844" t="s">
        <v>1208</v>
      </c>
    </row>
    <row r="12" spans="1:3" s="881" customFormat="1" ht="18" customHeight="1">
      <c r="A12" s="838"/>
      <c r="B12" s="842" t="s">
        <v>1084</v>
      </c>
      <c r="C12" s="877" t="s">
        <v>1302</v>
      </c>
    </row>
    <row r="13" spans="1:3" s="881" customFormat="1" ht="32.4" customHeight="1">
      <c r="A13" s="838"/>
      <c r="B13" s="842" t="s">
        <v>1085</v>
      </c>
      <c r="C13" s="878" t="s">
        <v>1271</v>
      </c>
    </row>
    <row r="14" spans="1:3" s="881" customFormat="1" ht="32.4" customHeight="1">
      <c r="A14" s="838"/>
      <c r="B14" s="842" t="s">
        <v>1086</v>
      </c>
      <c r="C14" s="878" t="s">
        <v>1272</v>
      </c>
    </row>
    <row r="15" spans="1:3" s="881" customFormat="1" ht="18.600000000000001" customHeight="1">
      <c r="A15" s="838"/>
      <c r="B15" s="842" t="s">
        <v>1087</v>
      </c>
      <c r="C15" s="844" t="s">
        <v>1209</v>
      </c>
    </row>
    <row r="16" spans="1:3" s="881" customFormat="1" ht="32.4" customHeight="1">
      <c r="A16" s="838"/>
      <c r="B16" s="842" t="s">
        <v>1088</v>
      </c>
      <c r="C16" s="878" t="s">
        <v>1270</v>
      </c>
    </row>
    <row r="17" spans="1:3" s="881" customFormat="1" ht="30.6" customHeight="1">
      <c r="A17" s="838"/>
      <c r="B17" s="842" t="s">
        <v>1089</v>
      </c>
      <c r="C17" s="878" t="s">
        <v>1274</v>
      </c>
    </row>
    <row r="18" spans="1:3">
      <c r="A18" s="405"/>
      <c r="B18" s="845"/>
      <c r="C18" s="840"/>
    </row>
    <row r="19" spans="1:3" ht="15.6">
      <c r="A19" s="405"/>
      <c r="B19" s="846" t="s">
        <v>1090</v>
      </c>
      <c r="C19" s="937" t="s">
        <v>1299</v>
      </c>
    </row>
    <row r="20" spans="1:3">
      <c r="A20" s="405"/>
      <c r="B20" s="845"/>
      <c r="C20" s="847" t="s">
        <v>1222</v>
      </c>
    </row>
    <row r="21" spans="1:3">
      <c r="A21" s="405"/>
      <c r="B21" s="845"/>
      <c r="C21" s="840"/>
    </row>
    <row r="22" spans="1:3">
      <c r="A22" s="405"/>
      <c r="B22" s="845"/>
      <c r="C22" s="840"/>
    </row>
    <row r="23" spans="1:3">
      <c r="A23" s="405"/>
      <c r="B23" s="845"/>
      <c r="C23" s="840"/>
    </row>
    <row r="24" spans="1:3">
      <c r="A24" s="405"/>
      <c r="B24" s="840"/>
      <c r="C24" s="840"/>
    </row>
    <row r="25" spans="1:3">
      <c r="A25" s="405"/>
      <c r="B25" s="840"/>
      <c r="C25" s="840"/>
    </row>
    <row r="26" spans="1:3">
      <c r="A26" s="405"/>
      <c r="B26" s="840"/>
      <c r="C26" s="840"/>
    </row>
    <row r="27" spans="1:3">
      <c r="A27" s="405"/>
      <c r="B27" s="840"/>
      <c r="C27" s="840"/>
    </row>
    <row r="28" spans="1:3">
      <c r="A28" s="405"/>
      <c r="B28" s="840"/>
      <c r="C28" s="840"/>
    </row>
    <row r="29" spans="1:3">
      <c r="A29" s="405"/>
      <c r="B29" s="840"/>
      <c r="C29" s="840"/>
    </row>
    <row r="30" spans="1:3">
      <c r="A30" s="405"/>
      <c r="B30" s="840"/>
      <c r="C30" s="840"/>
    </row>
    <row r="31" spans="1:3">
      <c r="A31" s="405"/>
      <c r="B31" s="840"/>
      <c r="C31" s="840"/>
    </row>
    <row r="32" spans="1:3">
      <c r="A32" s="405"/>
      <c r="B32" s="840"/>
      <c r="C32" s="840"/>
    </row>
    <row r="33" spans="1:3">
      <c r="A33" s="405"/>
      <c r="B33" s="840"/>
      <c r="C33" s="840"/>
    </row>
    <row r="34" spans="1:3">
      <c r="A34" s="405"/>
      <c r="B34" s="840"/>
      <c r="C34" s="840"/>
    </row>
    <row r="35" spans="1:3">
      <c r="A35" s="405"/>
      <c r="B35" s="840"/>
      <c r="C35" s="840"/>
    </row>
    <row r="36" spans="1:3">
      <c r="A36" s="405"/>
      <c r="B36" s="840"/>
      <c r="C36" s="840"/>
    </row>
    <row r="37" spans="1:3">
      <c r="A37" s="405"/>
      <c r="B37" s="840"/>
      <c r="C37" s="840"/>
    </row>
    <row r="38" spans="1:3">
      <c r="A38" s="405"/>
      <c r="B38" s="840"/>
      <c r="C38" s="840"/>
    </row>
    <row r="39" spans="1:3">
      <c r="A39" s="405"/>
      <c r="B39" s="840"/>
      <c r="C39" s="840"/>
    </row>
    <row r="40" spans="1:3">
      <c r="A40" s="405"/>
      <c r="B40" s="840"/>
      <c r="C40" s="840"/>
    </row>
    <row r="41" spans="1:3">
      <c r="A41" s="405"/>
      <c r="B41" s="840"/>
      <c r="C41" s="840"/>
    </row>
    <row r="42" spans="1:3">
      <c r="A42" s="405"/>
      <c r="B42" s="840"/>
      <c r="C42" s="840"/>
    </row>
  </sheetData>
  <sheetProtection password="E605" sheet="1" objects="1" scenarios="1"/>
  <mergeCells count="1">
    <mergeCell ref="B6:C6"/>
  </mergeCells>
  <phoneticPr fontId="18"/>
  <hyperlinks>
    <hyperlink ref="C20" r:id="rId1" display="https://sites.google.com/site/taronakai/research_topic/forest_canopy_height"/>
  </hyperlinks>
  <pageMargins left="0.7" right="0.7" top="0.75" bottom="0.75" header="0.3" footer="0.3"/>
  <pageSetup paperSize="9" scale="80" fitToHeight="0"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G155"/>
  <sheetViews>
    <sheetView workbookViewId="0">
      <selection activeCell="R20" sqref="R20"/>
    </sheetView>
  </sheetViews>
  <sheetFormatPr defaultColWidth="8.8984375" defaultRowHeight="14.4"/>
  <cols>
    <col min="1" max="1" width="9" style="97" customWidth="1"/>
    <col min="2" max="4" width="8.8984375" style="95"/>
    <col min="5" max="5" width="8.8984375" style="96"/>
    <col min="6" max="6" width="8.8984375" style="104"/>
    <col min="7" max="16384" width="8.8984375" style="95"/>
  </cols>
  <sheetData>
    <row r="1" spans="1:5" s="95" customFormat="1" ht="16.2">
      <c r="A1" s="94" t="s">
        <v>245</v>
      </c>
      <c r="E1" s="96"/>
    </row>
    <row r="2" spans="1:5" s="95" customFormat="1">
      <c r="A2" s="97" t="s">
        <v>246</v>
      </c>
      <c r="E2" s="96"/>
    </row>
    <row r="3" spans="1:5" s="95" customFormat="1">
      <c r="A3" s="97" t="s">
        <v>247</v>
      </c>
      <c r="E3" s="96"/>
    </row>
    <row r="4" spans="1:5" s="95" customFormat="1" ht="15" thickBot="1">
      <c r="A4" s="97"/>
      <c r="E4" s="96"/>
    </row>
    <row r="5" spans="1:5" s="95" customFormat="1">
      <c r="A5" s="826" t="s">
        <v>248</v>
      </c>
      <c r="B5" s="828" t="s">
        <v>249</v>
      </c>
      <c r="C5" s="828" t="s">
        <v>194</v>
      </c>
      <c r="D5" s="828" t="s">
        <v>250</v>
      </c>
      <c r="E5" s="830"/>
    </row>
    <row r="6" spans="1:5" s="95" customFormat="1">
      <c r="A6" s="827"/>
      <c r="B6" s="829"/>
      <c r="C6" s="829"/>
      <c r="D6" s="98" t="s">
        <v>251</v>
      </c>
      <c r="E6" s="99" t="s">
        <v>252</v>
      </c>
    </row>
    <row r="7" spans="1:5" s="95" customFormat="1">
      <c r="A7" s="100">
        <v>401</v>
      </c>
      <c r="B7" s="101" t="s">
        <v>253</v>
      </c>
      <c r="C7" s="101" t="s">
        <v>254</v>
      </c>
      <c r="D7" s="102">
        <v>0.65100000000000002</v>
      </c>
      <c r="E7" s="103">
        <v>0.56000000000000005</v>
      </c>
    </row>
    <row r="8" spans="1:5" s="95" customFormat="1">
      <c r="A8" s="100">
        <v>402</v>
      </c>
      <c r="B8" s="101" t="s">
        <v>255</v>
      </c>
      <c r="C8" s="101" t="s">
        <v>254</v>
      </c>
      <c r="D8" s="102">
        <v>1.1080000000000001</v>
      </c>
      <c r="E8" s="103">
        <v>-0.13</v>
      </c>
    </row>
    <row r="9" spans="1:5" s="95" customFormat="1">
      <c r="A9" s="100">
        <v>404</v>
      </c>
      <c r="B9" s="101" t="s">
        <v>256</v>
      </c>
      <c r="C9" s="101" t="s">
        <v>254</v>
      </c>
      <c r="D9" s="102">
        <v>0.628</v>
      </c>
      <c r="E9" s="103">
        <v>0.83</v>
      </c>
    </row>
    <row r="10" spans="1:5" s="95" customFormat="1">
      <c r="A10" s="100">
        <v>405</v>
      </c>
      <c r="B10" s="101" t="s">
        <v>257</v>
      </c>
      <c r="C10" s="101" t="s">
        <v>254</v>
      </c>
      <c r="D10" s="102">
        <v>1.006</v>
      </c>
      <c r="E10" s="103">
        <v>-0.47</v>
      </c>
    </row>
    <row r="11" spans="1:5" s="95" customFormat="1">
      <c r="A11" s="100">
        <v>406</v>
      </c>
      <c r="B11" s="101" t="s">
        <v>258</v>
      </c>
      <c r="C11" s="101" t="s">
        <v>254</v>
      </c>
      <c r="D11" s="102">
        <v>0.60599999999999998</v>
      </c>
      <c r="E11" s="103">
        <v>1.17</v>
      </c>
    </row>
    <row r="12" spans="1:5" s="95" customFormat="1">
      <c r="A12" s="100">
        <v>407</v>
      </c>
      <c r="B12" s="101" t="s">
        <v>259</v>
      </c>
      <c r="C12" s="101" t="s">
        <v>254</v>
      </c>
      <c r="D12" s="102">
        <v>0.92500000000000004</v>
      </c>
      <c r="E12" s="103">
        <v>-0.2</v>
      </c>
    </row>
    <row r="13" spans="1:5" s="95" customFormat="1">
      <c r="A13" s="100">
        <v>409</v>
      </c>
      <c r="B13" s="101" t="s">
        <v>260</v>
      </c>
      <c r="C13" s="101" t="s">
        <v>254</v>
      </c>
      <c r="D13" s="102">
        <v>0.74</v>
      </c>
      <c r="E13" s="103">
        <v>0.37</v>
      </c>
    </row>
    <row r="14" spans="1:5" s="95" customFormat="1">
      <c r="A14" s="100">
        <v>411</v>
      </c>
      <c r="B14" s="101" t="s">
        <v>261</v>
      </c>
      <c r="C14" s="101" t="s">
        <v>254</v>
      </c>
      <c r="D14" s="102">
        <v>0.78300000000000003</v>
      </c>
      <c r="E14" s="103">
        <v>-0.08</v>
      </c>
    </row>
    <row r="15" spans="1:5" s="95" customFormat="1">
      <c r="A15" s="100">
        <v>412</v>
      </c>
      <c r="B15" s="101" t="s">
        <v>262</v>
      </c>
      <c r="C15" s="101" t="s">
        <v>254</v>
      </c>
      <c r="D15" s="102">
        <v>0.71299999999999997</v>
      </c>
      <c r="E15" s="103">
        <v>0.28999999999999998</v>
      </c>
    </row>
    <row r="16" spans="1:5" s="95" customFormat="1">
      <c r="A16" s="100">
        <v>413</v>
      </c>
      <c r="B16" s="101" t="s">
        <v>263</v>
      </c>
      <c r="C16" s="101" t="s">
        <v>254</v>
      </c>
      <c r="D16" s="102">
        <v>0.87</v>
      </c>
      <c r="E16" s="103">
        <v>-0.2</v>
      </c>
    </row>
    <row r="17" spans="1:5" s="95" customFormat="1">
      <c r="A17" s="100">
        <v>417</v>
      </c>
      <c r="B17" s="101" t="s">
        <v>264</v>
      </c>
      <c r="C17" s="101" t="s">
        <v>254</v>
      </c>
      <c r="D17" s="102">
        <v>0.91300000000000003</v>
      </c>
      <c r="E17" s="103">
        <v>-0.02</v>
      </c>
    </row>
    <row r="18" spans="1:5" s="95" customFormat="1">
      <c r="A18" s="100">
        <v>418</v>
      </c>
      <c r="B18" s="101" t="s">
        <v>265</v>
      </c>
      <c r="C18" s="101" t="s">
        <v>254</v>
      </c>
      <c r="D18" s="102">
        <v>0.625</v>
      </c>
      <c r="E18" s="103">
        <v>0.56000000000000005</v>
      </c>
    </row>
    <row r="19" spans="1:5" s="95" customFormat="1">
      <c r="A19" s="100">
        <v>420</v>
      </c>
      <c r="B19" s="101" t="s">
        <v>266</v>
      </c>
      <c r="C19" s="101" t="s">
        <v>254</v>
      </c>
      <c r="D19" s="102">
        <v>0.54700000000000004</v>
      </c>
      <c r="E19" s="103">
        <v>0.84</v>
      </c>
    </row>
    <row r="20" spans="1:5" s="95" customFormat="1">
      <c r="A20" s="100">
        <v>421</v>
      </c>
      <c r="B20" s="101" t="s">
        <v>267</v>
      </c>
      <c r="C20" s="101" t="s">
        <v>254</v>
      </c>
      <c r="D20" s="102">
        <v>0.76700000000000002</v>
      </c>
      <c r="E20" s="103">
        <v>1.31</v>
      </c>
    </row>
    <row r="21" spans="1:5" s="95" customFormat="1">
      <c r="A21" s="100">
        <v>423</v>
      </c>
      <c r="B21" s="101" t="s">
        <v>268</v>
      </c>
      <c r="C21" s="101" t="s">
        <v>254</v>
      </c>
      <c r="D21" s="102">
        <v>0.78200000000000003</v>
      </c>
      <c r="E21" s="103">
        <v>0.42</v>
      </c>
    </row>
    <row r="22" spans="1:5" s="95" customFormat="1">
      <c r="A22" s="100">
        <v>424</v>
      </c>
      <c r="B22" s="101" t="s">
        <v>269</v>
      </c>
      <c r="C22" s="101" t="s">
        <v>254</v>
      </c>
      <c r="D22" s="102">
        <v>0.57399999999999995</v>
      </c>
      <c r="E22" s="103">
        <v>0.88</v>
      </c>
    </row>
    <row r="23" spans="1:5" s="95" customFormat="1">
      <c r="A23" s="100">
        <v>426</v>
      </c>
      <c r="B23" s="101" t="s">
        <v>270</v>
      </c>
      <c r="C23" s="101" t="s">
        <v>254</v>
      </c>
      <c r="D23" s="102">
        <v>0.4</v>
      </c>
      <c r="E23" s="103">
        <v>1.26</v>
      </c>
    </row>
    <row r="24" spans="1:5" s="95" customFormat="1">
      <c r="A24" s="100">
        <v>428</v>
      </c>
      <c r="B24" s="101" t="s">
        <v>271</v>
      </c>
      <c r="C24" s="101" t="s">
        <v>254</v>
      </c>
      <c r="D24" s="102">
        <v>0.41199999999999998</v>
      </c>
      <c r="E24" s="103">
        <v>1.74</v>
      </c>
    </row>
    <row r="25" spans="1:5" s="95" customFormat="1">
      <c r="A25" s="100">
        <v>429</v>
      </c>
      <c r="B25" s="101" t="s">
        <v>272</v>
      </c>
      <c r="C25" s="101" t="s">
        <v>254</v>
      </c>
      <c r="D25" s="102">
        <v>0.71799999999999997</v>
      </c>
      <c r="E25" s="103">
        <v>0.5</v>
      </c>
    </row>
    <row r="26" spans="1:5" s="95" customFormat="1">
      <c r="A26" s="100">
        <v>430</v>
      </c>
      <c r="B26" s="101" t="s">
        <v>273</v>
      </c>
      <c r="C26" s="101" t="s">
        <v>254</v>
      </c>
      <c r="D26" s="102">
        <v>0.65900000000000003</v>
      </c>
      <c r="E26" s="103">
        <v>1</v>
      </c>
    </row>
    <row r="27" spans="1:5" s="95" customFormat="1">
      <c r="A27" s="100">
        <v>433</v>
      </c>
      <c r="B27" s="101" t="s">
        <v>274</v>
      </c>
      <c r="C27" s="101" t="s">
        <v>254</v>
      </c>
      <c r="D27" s="102">
        <v>0.90700000000000003</v>
      </c>
      <c r="E27" s="103">
        <v>-0.11</v>
      </c>
    </row>
    <row r="28" spans="1:5" s="95" customFormat="1">
      <c r="A28" s="100">
        <v>435</v>
      </c>
      <c r="B28" s="101" t="s">
        <v>275</v>
      </c>
      <c r="C28" s="101" t="s">
        <v>254</v>
      </c>
      <c r="D28" s="102">
        <v>0.71199999999999997</v>
      </c>
      <c r="E28" s="103">
        <v>0.73</v>
      </c>
    </row>
    <row r="29" spans="1:5" s="95" customFormat="1">
      <c r="A29" s="100">
        <v>440</v>
      </c>
      <c r="B29" s="101" t="s">
        <v>276</v>
      </c>
      <c r="C29" s="101" t="s">
        <v>254</v>
      </c>
      <c r="D29" s="102">
        <v>0.56000000000000005</v>
      </c>
      <c r="E29" s="103">
        <v>1.02</v>
      </c>
    </row>
    <row r="30" spans="1:5" s="95" customFormat="1">
      <c r="A30" s="100">
        <v>574</v>
      </c>
      <c r="B30" s="101" t="s">
        <v>277</v>
      </c>
      <c r="C30" s="101" t="s">
        <v>278</v>
      </c>
      <c r="D30" s="102">
        <v>0.64100000000000001</v>
      </c>
      <c r="E30" s="103">
        <v>0.87</v>
      </c>
    </row>
    <row r="31" spans="1:5" s="95" customFormat="1">
      <c r="A31" s="100">
        <v>575</v>
      </c>
      <c r="B31" s="101" t="s">
        <v>278</v>
      </c>
      <c r="C31" s="101" t="s">
        <v>278</v>
      </c>
      <c r="D31" s="102">
        <v>0.82599999999999996</v>
      </c>
      <c r="E31" s="103">
        <v>0.3</v>
      </c>
    </row>
    <row r="32" spans="1:5" s="95" customFormat="1">
      <c r="A32" s="100">
        <v>576</v>
      </c>
      <c r="B32" s="101" t="s">
        <v>279</v>
      </c>
      <c r="C32" s="101" t="s">
        <v>278</v>
      </c>
      <c r="D32" s="102">
        <v>0.69699999999999995</v>
      </c>
      <c r="E32" s="103">
        <v>0.53</v>
      </c>
    </row>
    <row r="33" spans="1:5" s="95" customFormat="1">
      <c r="A33" s="100">
        <v>581</v>
      </c>
      <c r="B33" s="101" t="s">
        <v>280</v>
      </c>
      <c r="C33" s="101" t="s">
        <v>278</v>
      </c>
      <c r="D33" s="102">
        <v>0.73199999999999998</v>
      </c>
      <c r="E33" s="103">
        <v>0.37</v>
      </c>
    </row>
    <row r="34" spans="1:5" s="95" customFormat="1">
      <c r="A34" s="100">
        <v>584</v>
      </c>
      <c r="B34" s="101" t="s">
        <v>281</v>
      </c>
      <c r="C34" s="101" t="s">
        <v>282</v>
      </c>
      <c r="D34" s="102">
        <v>0.9</v>
      </c>
      <c r="E34" s="103">
        <v>0.25</v>
      </c>
    </row>
    <row r="35" spans="1:5" s="95" customFormat="1">
      <c r="A35" s="100">
        <v>585</v>
      </c>
      <c r="B35" s="101" t="s">
        <v>283</v>
      </c>
      <c r="C35" s="101" t="s">
        <v>282</v>
      </c>
      <c r="D35" s="102">
        <v>0.65800000000000003</v>
      </c>
      <c r="E35" s="103">
        <v>0.71</v>
      </c>
    </row>
    <row r="36" spans="1:5" s="95" customFormat="1">
      <c r="A36" s="100">
        <v>590</v>
      </c>
      <c r="B36" s="101" t="s">
        <v>284</v>
      </c>
      <c r="C36" s="101" t="s">
        <v>285</v>
      </c>
      <c r="D36" s="102">
        <v>0.78</v>
      </c>
      <c r="E36" s="103">
        <v>0.41</v>
      </c>
    </row>
    <row r="37" spans="1:5" s="95" customFormat="1">
      <c r="A37" s="100">
        <v>592</v>
      </c>
      <c r="B37" s="101" t="s">
        <v>286</v>
      </c>
      <c r="C37" s="101" t="s">
        <v>285</v>
      </c>
      <c r="D37" s="102">
        <v>0.8</v>
      </c>
      <c r="E37" s="103">
        <v>0.12</v>
      </c>
    </row>
    <row r="38" spans="1:5" s="95" customFormat="1">
      <c r="A38" s="100">
        <v>582</v>
      </c>
      <c r="B38" s="101" t="s">
        <v>287</v>
      </c>
      <c r="C38" s="101" t="s">
        <v>288</v>
      </c>
      <c r="D38" s="102">
        <v>0.99399999999999999</v>
      </c>
      <c r="E38" s="103">
        <v>-0.01</v>
      </c>
    </row>
    <row r="39" spans="1:5" s="95" customFormat="1">
      <c r="A39" s="100">
        <v>520</v>
      </c>
      <c r="B39" s="101" t="s">
        <v>289</v>
      </c>
      <c r="C39" s="101" t="s">
        <v>290</v>
      </c>
      <c r="D39" s="102">
        <v>0.85299999999999998</v>
      </c>
      <c r="E39" s="103">
        <v>0.08</v>
      </c>
    </row>
    <row r="40" spans="1:5" s="95" customFormat="1">
      <c r="A40" s="100">
        <v>587</v>
      </c>
      <c r="B40" s="101" t="s">
        <v>291</v>
      </c>
      <c r="C40" s="101" t="s">
        <v>290</v>
      </c>
      <c r="D40" s="102">
        <v>0.59199999999999997</v>
      </c>
      <c r="E40" s="103">
        <v>1.56</v>
      </c>
    </row>
    <row r="41" spans="1:5" s="95" customFormat="1">
      <c r="A41" s="100">
        <v>588</v>
      </c>
      <c r="B41" s="101" t="s">
        <v>290</v>
      </c>
      <c r="C41" s="101" t="s">
        <v>290</v>
      </c>
      <c r="D41" s="102">
        <v>0.97899999999999998</v>
      </c>
      <c r="E41" s="103">
        <v>-0.13</v>
      </c>
    </row>
    <row r="42" spans="1:5" s="95" customFormat="1">
      <c r="A42" s="100">
        <v>570</v>
      </c>
      <c r="B42" s="101" t="s">
        <v>292</v>
      </c>
      <c r="C42" s="101" t="s">
        <v>293</v>
      </c>
      <c r="D42" s="102">
        <v>0.99399999999999999</v>
      </c>
      <c r="E42" s="103">
        <v>-0.18</v>
      </c>
    </row>
    <row r="43" spans="1:5" s="95" customFormat="1">
      <c r="A43" s="100">
        <v>595</v>
      </c>
      <c r="B43" s="101" t="s">
        <v>293</v>
      </c>
      <c r="C43" s="101" t="s">
        <v>293</v>
      </c>
      <c r="D43" s="102">
        <v>1.0620000000000001</v>
      </c>
      <c r="E43" s="103">
        <v>-0.25</v>
      </c>
    </row>
    <row r="44" spans="1:5" s="95" customFormat="1">
      <c r="A44" s="100">
        <v>597</v>
      </c>
      <c r="B44" s="101" t="s">
        <v>294</v>
      </c>
      <c r="C44" s="101" t="s">
        <v>293</v>
      </c>
      <c r="D44" s="102">
        <v>0.68600000000000005</v>
      </c>
      <c r="E44" s="103">
        <v>0.35</v>
      </c>
    </row>
    <row r="45" spans="1:5" s="95" customFormat="1">
      <c r="A45" s="100">
        <v>598</v>
      </c>
      <c r="B45" s="101" t="s">
        <v>295</v>
      </c>
      <c r="C45" s="101" t="s">
        <v>293</v>
      </c>
      <c r="D45" s="102">
        <v>0.68400000000000005</v>
      </c>
      <c r="E45" s="103">
        <v>0.04</v>
      </c>
    </row>
    <row r="46" spans="1:5" s="95" customFormat="1">
      <c r="A46" s="100">
        <v>627</v>
      </c>
      <c r="B46" s="101" t="s">
        <v>296</v>
      </c>
      <c r="C46" s="101" t="s">
        <v>297</v>
      </c>
      <c r="D46" s="102">
        <v>0.66</v>
      </c>
      <c r="E46" s="103">
        <v>0.95</v>
      </c>
    </row>
    <row r="47" spans="1:5" s="95" customFormat="1">
      <c r="A47" s="100">
        <v>629</v>
      </c>
      <c r="B47" s="101" t="s">
        <v>298</v>
      </c>
      <c r="C47" s="101" t="s">
        <v>297</v>
      </c>
      <c r="D47" s="102">
        <v>0.81200000000000006</v>
      </c>
      <c r="E47" s="103">
        <v>0.34</v>
      </c>
    </row>
    <row r="48" spans="1:5" s="95" customFormat="1">
      <c r="A48" s="100">
        <v>615</v>
      </c>
      <c r="B48" s="101" t="s">
        <v>299</v>
      </c>
      <c r="C48" s="101" t="s">
        <v>300</v>
      </c>
      <c r="D48" s="102">
        <v>0.79800000000000004</v>
      </c>
      <c r="E48" s="103">
        <v>0.21</v>
      </c>
    </row>
    <row r="49" spans="1:6">
      <c r="A49" s="100">
        <v>690</v>
      </c>
      <c r="B49" s="101" t="s">
        <v>301</v>
      </c>
      <c r="C49" s="101" t="s">
        <v>300</v>
      </c>
      <c r="D49" s="102">
        <v>0.38100000000000001</v>
      </c>
      <c r="E49" s="103">
        <v>1.34</v>
      </c>
    </row>
    <row r="50" spans="1:6">
      <c r="A50" s="100">
        <v>624</v>
      </c>
      <c r="B50" s="101" t="s">
        <v>302</v>
      </c>
      <c r="C50" s="101" t="s">
        <v>303</v>
      </c>
      <c r="D50" s="102">
        <v>0.77</v>
      </c>
      <c r="E50" s="103">
        <v>1.1399999999999999</v>
      </c>
    </row>
    <row r="51" spans="1:6">
      <c r="A51" s="100">
        <v>626</v>
      </c>
      <c r="B51" s="101" t="s">
        <v>304</v>
      </c>
      <c r="C51" s="101" t="s">
        <v>305</v>
      </c>
      <c r="D51" s="102">
        <v>0.80800000000000005</v>
      </c>
      <c r="E51" s="103">
        <v>0.56000000000000005</v>
      </c>
    </row>
    <row r="52" spans="1:6">
      <c r="A52" s="100">
        <v>641</v>
      </c>
      <c r="B52" s="101" t="s">
        <v>306</v>
      </c>
      <c r="C52" s="101" t="s">
        <v>305</v>
      </c>
      <c r="D52" s="102">
        <v>0.85</v>
      </c>
      <c r="E52" s="103">
        <v>0.15</v>
      </c>
    </row>
    <row r="53" spans="1:6">
      <c r="A53" s="100">
        <v>648</v>
      </c>
      <c r="B53" s="101" t="s">
        <v>307</v>
      </c>
      <c r="C53" s="101" t="s">
        <v>308</v>
      </c>
      <c r="D53" s="102">
        <v>0.63500000000000001</v>
      </c>
      <c r="E53" s="103">
        <v>1.41</v>
      </c>
    </row>
    <row r="54" spans="1:6">
      <c r="A54" s="100">
        <v>673</v>
      </c>
      <c r="B54" s="101" t="s">
        <v>309</v>
      </c>
      <c r="C54" s="101" t="s">
        <v>308</v>
      </c>
      <c r="D54" s="102">
        <v>0.54500000000000004</v>
      </c>
      <c r="E54" s="103">
        <v>2.06</v>
      </c>
    </row>
    <row r="55" spans="1:6">
      <c r="A55" s="100">
        <v>674</v>
      </c>
      <c r="B55" s="101" t="s">
        <v>310</v>
      </c>
      <c r="C55" s="101" t="s">
        <v>308</v>
      </c>
      <c r="D55" s="102">
        <v>0.68700000000000006</v>
      </c>
      <c r="E55" s="103">
        <v>0.85</v>
      </c>
      <c r="F55" s="105"/>
    </row>
    <row r="56" spans="1:6">
      <c r="A56" s="100">
        <v>662</v>
      </c>
      <c r="B56" s="101" t="s">
        <v>311</v>
      </c>
      <c r="C56" s="101" t="s">
        <v>311</v>
      </c>
      <c r="D56" s="102">
        <v>0.80700000000000005</v>
      </c>
      <c r="E56" s="103">
        <v>0.28999999999999998</v>
      </c>
    </row>
    <row r="57" spans="1:6">
      <c r="A57" s="100">
        <v>675</v>
      </c>
      <c r="B57" s="101" t="s">
        <v>312</v>
      </c>
      <c r="C57" s="101" t="s">
        <v>311</v>
      </c>
      <c r="D57" s="102">
        <v>0.56599999999999995</v>
      </c>
      <c r="E57" s="103">
        <v>1.55</v>
      </c>
    </row>
    <row r="58" spans="1:6">
      <c r="A58" s="100">
        <v>676</v>
      </c>
      <c r="B58" s="101" t="s">
        <v>313</v>
      </c>
      <c r="C58" s="101" t="s">
        <v>311</v>
      </c>
      <c r="D58" s="102">
        <v>0.55400000000000005</v>
      </c>
      <c r="E58" s="103">
        <v>1.91</v>
      </c>
    </row>
    <row r="59" spans="1:6">
      <c r="A59" s="100">
        <v>677</v>
      </c>
      <c r="B59" s="101" t="s">
        <v>314</v>
      </c>
      <c r="C59" s="101" t="s">
        <v>311</v>
      </c>
      <c r="D59" s="102">
        <v>0.43</v>
      </c>
      <c r="E59" s="103">
        <v>2.35</v>
      </c>
    </row>
    <row r="60" spans="1:6">
      <c r="A60" s="100">
        <v>678</v>
      </c>
      <c r="B60" s="101" t="s">
        <v>315</v>
      </c>
      <c r="C60" s="101" t="s">
        <v>311</v>
      </c>
      <c r="D60" s="102">
        <v>0.53700000000000003</v>
      </c>
      <c r="E60" s="103">
        <v>1.73</v>
      </c>
    </row>
    <row r="61" spans="1:6">
      <c r="A61" s="100">
        <v>670</v>
      </c>
      <c r="B61" s="101" t="s">
        <v>316</v>
      </c>
      <c r="C61" s="101" t="s">
        <v>317</v>
      </c>
      <c r="D61" s="102">
        <v>0.82</v>
      </c>
      <c r="E61" s="103">
        <v>0.2</v>
      </c>
    </row>
    <row r="62" spans="1:6">
      <c r="A62" s="100">
        <v>602</v>
      </c>
      <c r="B62" s="101" t="s">
        <v>318</v>
      </c>
      <c r="C62" s="101" t="s">
        <v>319</v>
      </c>
      <c r="D62" s="102">
        <v>0.66</v>
      </c>
      <c r="E62" s="103">
        <v>0.86</v>
      </c>
    </row>
    <row r="63" spans="1:6">
      <c r="A63" s="100">
        <v>604</v>
      </c>
      <c r="B63" s="101" t="s">
        <v>320</v>
      </c>
      <c r="C63" s="101" t="s">
        <v>319</v>
      </c>
      <c r="D63" s="102">
        <v>0.78300000000000003</v>
      </c>
      <c r="E63" s="103">
        <v>0.36</v>
      </c>
    </row>
    <row r="64" spans="1:6">
      <c r="A64" s="100">
        <v>612</v>
      </c>
      <c r="B64" s="101" t="s">
        <v>321</v>
      </c>
      <c r="C64" s="101" t="s">
        <v>319</v>
      </c>
      <c r="D64" s="102">
        <v>0.89100000000000001</v>
      </c>
      <c r="E64" s="103">
        <v>-0.26</v>
      </c>
    </row>
    <row r="65" spans="1:5" s="95" customFormat="1">
      <c r="A65" s="100">
        <v>606</v>
      </c>
      <c r="B65" s="101" t="s">
        <v>322</v>
      </c>
      <c r="C65" s="101" t="s">
        <v>323</v>
      </c>
      <c r="D65" s="102">
        <v>0.94199999999999995</v>
      </c>
      <c r="E65" s="103">
        <v>-0.05</v>
      </c>
    </row>
    <row r="66" spans="1:5" s="95" customFormat="1">
      <c r="A66" s="100">
        <v>607</v>
      </c>
      <c r="B66" s="101" t="s">
        <v>323</v>
      </c>
      <c r="C66" s="101" t="s">
        <v>323</v>
      </c>
      <c r="D66" s="102">
        <v>0.85099999999999998</v>
      </c>
      <c r="E66" s="103">
        <v>0.13</v>
      </c>
    </row>
    <row r="67" spans="1:5" s="95" customFormat="1">
      <c r="A67" s="100">
        <v>600</v>
      </c>
      <c r="B67" s="101" t="s">
        <v>324</v>
      </c>
      <c r="C67" s="101" t="s">
        <v>325</v>
      </c>
      <c r="D67" s="102">
        <v>0.83399999999999996</v>
      </c>
      <c r="E67" s="103">
        <v>0.34</v>
      </c>
    </row>
    <row r="68" spans="1:5" s="95" customFormat="1">
      <c r="A68" s="100">
        <v>605</v>
      </c>
      <c r="B68" s="101" t="s">
        <v>326</v>
      </c>
      <c r="C68" s="101" t="s">
        <v>325</v>
      </c>
      <c r="D68" s="102">
        <v>0.89700000000000002</v>
      </c>
      <c r="E68" s="103">
        <v>0.23</v>
      </c>
    </row>
    <row r="69" spans="1:5" s="95" customFormat="1">
      <c r="A69" s="100">
        <v>616</v>
      </c>
      <c r="B69" s="101" t="s">
        <v>327</v>
      </c>
      <c r="C69" s="101" t="s">
        <v>328</v>
      </c>
      <c r="D69" s="102">
        <v>0.95599999999999996</v>
      </c>
      <c r="E69" s="103">
        <v>-0.26</v>
      </c>
    </row>
    <row r="70" spans="1:5" s="95" customFormat="1">
      <c r="A70" s="100">
        <v>631</v>
      </c>
      <c r="B70" s="101" t="s">
        <v>329</v>
      </c>
      <c r="C70" s="101" t="s">
        <v>328</v>
      </c>
      <c r="D70" s="102">
        <v>1.123</v>
      </c>
      <c r="E70" s="103">
        <v>0.06</v>
      </c>
    </row>
    <row r="71" spans="1:5" s="95" customFormat="1">
      <c r="A71" s="100">
        <v>638</v>
      </c>
      <c r="B71" s="101" t="s">
        <v>330</v>
      </c>
      <c r="C71" s="101" t="s">
        <v>331</v>
      </c>
      <c r="D71" s="102">
        <v>0.80100000000000005</v>
      </c>
      <c r="E71" s="103">
        <v>0.37</v>
      </c>
    </row>
    <row r="72" spans="1:5" s="95" customFormat="1">
      <c r="A72" s="100">
        <v>640</v>
      </c>
      <c r="B72" s="101" t="s">
        <v>332</v>
      </c>
      <c r="C72" s="101" t="s">
        <v>331</v>
      </c>
      <c r="D72" s="102">
        <v>0.91400000000000003</v>
      </c>
      <c r="E72" s="103">
        <v>0.4</v>
      </c>
    </row>
    <row r="73" spans="1:5" s="95" customFormat="1">
      <c r="A73" s="100">
        <v>610</v>
      </c>
      <c r="B73" s="101" t="s">
        <v>333</v>
      </c>
      <c r="C73" s="101" t="s">
        <v>333</v>
      </c>
      <c r="D73" s="102">
        <v>1.0389999999999999</v>
      </c>
      <c r="E73" s="103">
        <v>-0.23</v>
      </c>
    </row>
    <row r="74" spans="1:5" s="95" customFormat="1">
      <c r="A74" s="100">
        <v>618</v>
      </c>
      <c r="B74" s="101" t="s">
        <v>334</v>
      </c>
      <c r="C74" s="101" t="s">
        <v>333</v>
      </c>
      <c r="D74" s="102">
        <v>0.99</v>
      </c>
      <c r="E74" s="103">
        <v>0.19</v>
      </c>
    </row>
    <row r="75" spans="1:5" s="95" customFormat="1">
      <c r="A75" s="100">
        <v>620</v>
      </c>
      <c r="B75" s="101" t="s">
        <v>335</v>
      </c>
      <c r="C75" s="101" t="s">
        <v>333</v>
      </c>
      <c r="D75" s="102">
        <v>0.92800000000000005</v>
      </c>
      <c r="E75" s="103">
        <v>0.28999999999999998</v>
      </c>
    </row>
    <row r="76" spans="1:5" s="95" customFormat="1">
      <c r="A76" s="100">
        <v>622</v>
      </c>
      <c r="B76" s="101" t="s">
        <v>336</v>
      </c>
      <c r="C76" s="101" t="s">
        <v>333</v>
      </c>
      <c r="D76" s="102">
        <v>0.82599999999999996</v>
      </c>
      <c r="E76" s="103">
        <v>0.65</v>
      </c>
    </row>
    <row r="77" spans="1:5" s="95" customFormat="1">
      <c r="A77" s="100">
        <v>637</v>
      </c>
      <c r="B77" s="101" t="s">
        <v>337</v>
      </c>
      <c r="C77" s="101" t="s">
        <v>333</v>
      </c>
      <c r="D77" s="102">
        <v>1.079</v>
      </c>
      <c r="E77" s="103">
        <v>-0.25</v>
      </c>
    </row>
    <row r="78" spans="1:5" s="95" customFormat="1">
      <c r="A78" s="100">
        <v>617</v>
      </c>
      <c r="B78" s="101" t="s">
        <v>338</v>
      </c>
      <c r="C78" s="101" t="s">
        <v>339</v>
      </c>
      <c r="D78" s="102">
        <v>0.99399999999999999</v>
      </c>
      <c r="E78" s="103">
        <v>-0.17</v>
      </c>
    </row>
    <row r="79" spans="1:5" s="95" customFormat="1">
      <c r="A79" s="100">
        <v>632</v>
      </c>
      <c r="B79" s="101" t="s">
        <v>339</v>
      </c>
      <c r="C79" s="101" t="s">
        <v>339</v>
      </c>
      <c r="D79" s="102">
        <v>0.96699999999999997</v>
      </c>
      <c r="E79" s="103">
        <v>-0.1</v>
      </c>
    </row>
    <row r="80" spans="1:5" s="95" customFormat="1">
      <c r="A80" s="100">
        <v>654</v>
      </c>
      <c r="B80" s="101" t="s">
        <v>340</v>
      </c>
      <c r="C80" s="101" t="s">
        <v>341</v>
      </c>
      <c r="D80" s="102">
        <v>0.67300000000000004</v>
      </c>
      <c r="E80" s="103">
        <v>0.9</v>
      </c>
    </row>
    <row r="81" spans="1:5" s="95" customFormat="1">
      <c r="A81" s="100">
        <v>655</v>
      </c>
      <c r="B81" s="101" t="s">
        <v>342</v>
      </c>
      <c r="C81" s="101" t="s">
        <v>341</v>
      </c>
      <c r="D81" s="102">
        <v>0.59299999999999997</v>
      </c>
      <c r="E81" s="103">
        <v>1.67</v>
      </c>
    </row>
    <row r="82" spans="1:5" s="95" customFormat="1">
      <c r="A82" s="100">
        <v>656</v>
      </c>
      <c r="B82" s="101" t="s">
        <v>341</v>
      </c>
      <c r="C82" s="101" t="s">
        <v>341</v>
      </c>
      <c r="D82" s="102">
        <v>0.83599999999999997</v>
      </c>
      <c r="E82" s="103">
        <v>0.39</v>
      </c>
    </row>
    <row r="83" spans="1:5" s="95" customFormat="1">
      <c r="A83" s="100">
        <v>657</v>
      </c>
      <c r="B83" s="101" t="s">
        <v>343</v>
      </c>
      <c r="C83" s="101" t="s">
        <v>341</v>
      </c>
      <c r="D83" s="102">
        <v>0.96299999999999997</v>
      </c>
      <c r="E83" s="103">
        <v>0.1</v>
      </c>
    </row>
    <row r="84" spans="1:5" s="95" customFormat="1">
      <c r="A84" s="100">
        <v>666</v>
      </c>
      <c r="B84" s="101" t="s">
        <v>344</v>
      </c>
      <c r="C84" s="101" t="s">
        <v>341</v>
      </c>
      <c r="D84" s="102">
        <v>0.37</v>
      </c>
      <c r="E84" s="103">
        <v>2.96</v>
      </c>
    </row>
    <row r="85" spans="1:5" s="95" customFormat="1">
      <c r="A85" s="100">
        <v>668</v>
      </c>
      <c r="B85" s="101" t="s">
        <v>345</v>
      </c>
      <c r="C85" s="101" t="s">
        <v>341</v>
      </c>
      <c r="D85" s="102">
        <v>0.75700000000000001</v>
      </c>
      <c r="E85" s="103">
        <v>1.2</v>
      </c>
    </row>
    <row r="86" spans="1:5" s="95" customFormat="1">
      <c r="A86" s="100">
        <v>636</v>
      </c>
      <c r="B86" s="101" t="s">
        <v>346</v>
      </c>
      <c r="C86" s="101" t="s">
        <v>347</v>
      </c>
      <c r="D86" s="102">
        <v>0.97599999999999998</v>
      </c>
      <c r="E86" s="103">
        <v>0.16</v>
      </c>
    </row>
    <row r="87" spans="1:5" s="95" customFormat="1">
      <c r="A87" s="100">
        <v>653</v>
      </c>
      <c r="B87" s="101" t="s">
        <v>348</v>
      </c>
      <c r="C87" s="101" t="s">
        <v>349</v>
      </c>
      <c r="D87" s="102">
        <v>0.71199999999999997</v>
      </c>
      <c r="E87" s="103">
        <v>1.78</v>
      </c>
    </row>
    <row r="88" spans="1:5" s="95" customFormat="1">
      <c r="A88" s="100">
        <v>649</v>
      </c>
      <c r="B88" s="101" t="s">
        <v>350</v>
      </c>
      <c r="C88" s="101" t="s">
        <v>351</v>
      </c>
      <c r="D88" s="102">
        <v>0.877</v>
      </c>
      <c r="E88" s="103">
        <v>0.11</v>
      </c>
    </row>
    <row r="89" spans="1:5" s="95" customFormat="1">
      <c r="A89" s="100">
        <v>650</v>
      </c>
      <c r="B89" s="101" t="s">
        <v>352</v>
      </c>
      <c r="C89" s="101" t="s">
        <v>351</v>
      </c>
      <c r="D89" s="102">
        <v>0.85899999999999999</v>
      </c>
      <c r="E89" s="103">
        <v>0.49</v>
      </c>
    </row>
    <row r="90" spans="1:5" s="95" customFormat="1">
      <c r="A90" s="100">
        <v>651</v>
      </c>
      <c r="B90" s="101" t="s">
        <v>353</v>
      </c>
      <c r="C90" s="101" t="s">
        <v>351</v>
      </c>
      <c r="D90" s="102">
        <v>0.85599999999999998</v>
      </c>
      <c r="E90" s="103">
        <v>0.44</v>
      </c>
    </row>
    <row r="91" spans="1:5" s="95" customFormat="1">
      <c r="A91" s="100">
        <v>663</v>
      </c>
      <c r="B91" s="101" t="s">
        <v>354</v>
      </c>
      <c r="C91" s="101" t="s">
        <v>351</v>
      </c>
      <c r="D91" s="102">
        <v>0.77400000000000002</v>
      </c>
      <c r="E91" s="103">
        <v>0.43</v>
      </c>
    </row>
    <row r="92" spans="1:5" s="95" customFormat="1">
      <c r="A92" s="100">
        <v>751</v>
      </c>
      <c r="B92" s="101" t="s">
        <v>355</v>
      </c>
      <c r="C92" s="101" t="s">
        <v>356</v>
      </c>
      <c r="D92" s="102">
        <v>0.84499999999999997</v>
      </c>
      <c r="E92" s="103">
        <v>7.0000000000000007E-2</v>
      </c>
    </row>
    <row r="93" spans="1:5" s="95" customFormat="1">
      <c r="A93" s="100">
        <v>761</v>
      </c>
      <c r="B93" s="101" t="s">
        <v>357</v>
      </c>
      <c r="C93" s="101" t="s">
        <v>356</v>
      </c>
      <c r="D93" s="102">
        <v>0.83</v>
      </c>
      <c r="E93" s="103">
        <v>0</v>
      </c>
    </row>
    <row r="94" spans="1:5" s="95" customFormat="1">
      <c r="A94" s="100">
        <v>750</v>
      </c>
      <c r="B94" s="101" t="s">
        <v>358</v>
      </c>
      <c r="C94" s="101" t="s">
        <v>359</v>
      </c>
      <c r="D94" s="102">
        <v>0.94799999999999995</v>
      </c>
      <c r="E94" s="103">
        <v>0.06</v>
      </c>
    </row>
    <row r="95" spans="1:5" s="95" customFormat="1">
      <c r="A95" s="100">
        <v>759</v>
      </c>
      <c r="B95" s="101" t="s">
        <v>359</v>
      </c>
      <c r="C95" s="101" t="s">
        <v>359</v>
      </c>
      <c r="D95" s="102">
        <v>0.86299999999999999</v>
      </c>
      <c r="E95" s="103">
        <v>-0.35</v>
      </c>
    </row>
    <row r="96" spans="1:5" s="95" customFormat="1">
      <c r="A96" s="100">
        <v>772</v>
      </c>
      <c r="B96" s="101" t="s">
        <v>360</v>
      </c>
      <c r="C96" s="101" t="s">
        <v>360</v>
      </c>
      <c r="D96" s="102">
        <v>0.99199999999999999</v>
      </c>
      <c r="E96" s="103">
        <v>-0.17</v>
      </c>
    </row>
    <row r="97" spans="1:7">
      <c r="A97" s="100">
        <v>747</v>
      </c>
      <c r="B97" s="101" t="s">
        <v>361</v>
      </c>
      <c r="C97" s="101" t="s">
        <v>362</v>
      </c>
      <c r="D97" s="102">
        <v>1.069</v>
      </c>
      <c r="E97" s="103">
        <v>-0.28999999999999998</v>
      </c>
    </row>
    <row r="98" spans="1:7">
      <c r="A98" s="100">
        <v>769</v>
      </c>
      <c r="B98" s="101" t="s">
        <v>363</v>
      </c>
      <c r="C98" s="101" t="s">
        <v>364</v>
      </c>
      <c r="D98" s="102">
        <v>1.0069999999999999</v>
      </c>
      <c r="E98" s="103">
        <v>-0.26</v>
      </c>
      <c r="G98" s="106"/>
    </row>
    <row r="99" spans="1:7">
      <c r="A99" s="100">
        <v>770</v>
      </c>
      <c r="B99" s="101" t="s">
        <v>365</v>
      </c>
      <c r="C99" s="101" t="s">
        <v>366</v>
      </c>
      <c r="D99" s="102">
        <v>0.873</v>
      </c>
      <c r="E99" s="103">
        <v>0.48</v>
      </c>
      <c r="G99" s="106"/>
    </row>
    <row r="100" spans="1:7">
      <c r="A100" s="100">
        <v>776</v>
      </c>
      <c r="B100" s="101" t="s">
        <v>367</v>
      </c>
      <c r="C100" s="101" t="s">
        <v>368</v>
      </c>
      <c r="D100" s="102">
        <v>0.89700000000000002</v>
      </c>
      <c r="E100" s="103">
        <v>-0.04</v>
      </c>
    </row>
    <row r="101" spans="1:7">
      <c r="A101" s="100">
        <v>780</v>
      </c>
      <c r="B101" s="107" t="s">
        <v>369</v>
      </c>
      <c r="C101" s="107" t="s">
        <v>369</v>
      </c>
      <c r="D101" s="102">
        <v>0.98299999999999998</v>
      </c>
      <c r="E101" s="103">
        <v>-0.25</v>
      </c>
      <c r="F101" s="95"/>
    </row>
    <row r="102" spans="1:7">
      <c r="A102" s="100">
        <v>777</v>
      </c>
      <c r="B102" s="107" t="s">
        <v>370</v>
      </c>
      <c r="C102" s="107" t="s">
        <v>370</v>
      </c>
      <c r="D102" s="102">
        <v>0.93200000000000005</v>
      </c>
      <c r="E102" s="103">
        <v>0.19</v>
      </c>
      <c r="F102" s="95"/>
      <c r="G102" s="106"/>
    </row>
    <row r="103" spans="1:7">
      <c r="A103" s="100">
        <v>778</v>
      </c>
      <c r="B103" s="107" t="s">
        <v>371</v>
      </c>
      <c r="C103" s="107" t="s">
        <v>370</v>
      </c>
      <c r="D103" s="102">
        <v>0.58599999999999997</v>
      </c>
      <c r="E103" s="103">
        <v>1.87</v>
      </c>
      <c r="F103" s="108"/>
      <c r="G103" s="108"/>
    </row>
    <row r="104" spans="1:7">
      <c r="A104" s="100">
        <v>744</v>
      </c>
      <c r="B104" s="101" t="s">
        <v>372</v>
      </c>
      <c r="C104" s="107" t="s">
        <v>373</v>
      </c>
      <c r="D104" s="102">
        <v>0.90700000000000003</v>
      </c>
      <c r="E104" s="103">
        <v>-0.05</v>
      </c>
    </row>
    <row r="105" spans="1:7">
      <c r="A105" s="100">
        <v>746</v>
      </c>
      <c r="B105" s="107" t="s">
        <v>373</v>
      </c>
      <c r="C105" s="107" t="s">
        <v>373</v>
      </c>
      <c r="D105" s="102">
        <v>0.98399999999999999</v>
      </c>
      <c r="E105" s="103">
        <v>0.02</v>
      </c>
      <c r="F105" s="95"/>
    </row>
    <row r="106" spans="1:7">
      <c r="A106" s="100">
        <v>740</v>
      </c>
      <c r="B106" s="107" t="s">
        <v>374</v>
      </c>
      <c r="C106" s="101" t="s">
        <v>375</v>
      </c>
      <c r="D106" s="102">
        <v>0.86099999999999999</v>
      </c>
      <c r="E106" s="103">
        <v>0.61</v>
      </c>
      <c r="F106" s="95"/>
    </row>
    <row r="107" spans="1:7">
      <c r="A107" s="100">
        <v>741</v>
      </c>
      <c r="B107" s="101" t="s">
        <v>376</v>
      </c>
      <c r="C107" s="101" t="s">
        <v>375</v>
      </c>
      <c r="D107" s="102">
        <v>0.83499999999999996</v>
      </c>
      <c r="E107" s="103">
        <v>0.04</v>
      </c>
      <c r="G107" s="106"/>
    </row>
    <row r="108" spans="1:7">
      <c r="A108" s="100">
        <v>742</v>
      </c>
      <c r="B108" s="101" t="s">
        <v>377</v>
      </c>
      <c r="C108" s="101" t="s">
        <v>375</v>
      </c>
      <c r="D108" s="102">
        <v>0.79</v>
      </c>
      <c r="E108" s="103">
        <v>-0.03</v>
      </c>
    </row>
    <row r="109" spans="1:7">
      <c r="A109" s="100">
        <v>755</v>
      </c>
      <c r="B109" s="101" t="s">
        <v>378</v>
      </c>
      <c r="C109" s="101" t="s">
        <v>375</v>
      </c>
      <c r="D109" s="102">
        <v>0.68500000000000005</v>
      </c>
      <c r="E109" s="103">
        <v>1.08</v>
      </c>
    </row>
    <row r="110" spans="1:7">
      <c r="A110" s="100">
        <v>756</v>
      </c>
      <c r="B110" s="107" t="s">
        <v>379</v>
      </c>
      <c r="C110" s="101" t="s">
        <v>380</v>
      </c>
      <c r="D110" s="102">
        <v>0.83499999999999996</v>
      </c>
      <c r="E110" s="103">
        <v>-0.14000000000000001</v>
      </c>
      <c r="F110" s="95"/>
    </row>
    <row r="111" spans="1:7">
      <c r="A111" s="100">
        <v>768</v>
      </c>
      <c r="B111" s="101" t="s">
        <v>381</v>
      </c>
      <c r="C111" s="101" t="s">
        <v>380</v>
      </c>
      <c r="D111" s="102">
        <v>0.91800000000000004</v>
      </c>
      <c r="E111" s="103">
        <v>0.18</v>
      </c>
    </row>
    <row r="112" spans="1:7">
      <c r="A112" s="100">
        <v>765</v>
      </c>
      <c r="B112" s="101" t="s">
        <v>382</v>
      </c>
      <c r="C112" s="107" t="s">
        <v>382</v>
      </c>
      <c r="D112" s="102">
        <v>0.89100000000000001</v>
      </c>
      <c r="E112" s="103">
        <v>-0.01</v>
      </c>
      <c r="F112" s="95"/>
    </row>
    <row r="113" spans="1:6">
      <c r="A113" s="100">
        <v>766</v>
      </c>
      <c r="B113" s="107" t="s">
        <v>383</v>
      </c>
      <c r="C113" s="107" t="s">
        <v>382</v>
      </c>
      <c r="D113" s="102">
        <v>0.93799999999999994</v>
      </c>
      <c r="E113" s="103">
        <v>0.43</v>
      </c>
      <c r="F113" s="95"/>
    </row>
    <row r="114" spans="1:6">
      <c r="A114" s="100">
        <v>767</v>
      </c>
      <c r="B114" s="101" t="s">
        <v>384</v>
      </c>
      <c r="C114" s="107" t="s">
        <v>382</v>
      </c>
      <c r="D114" s="102">
        <v>0.89700000000000002</v>
      </c>
      <c r="E114" s="103">
        <v>-0.19</v>
      </c>
    </row>
    <row r="115" spans="1:6">
      <c r="A115" s="100">
        <v>754</v>
      </c>
      <c r="B115" s="101" t="s">
        <v>385</v>
      </c>
      <c r="C115" s="101" t="s">
        <v>386</v>
      </c>
      <c r="D115" s="102">
        <v>0.80300000000000005</v>
      </c>
      <c r="E115" s="103">
        <v>0.09</v>
      </c>
    </row>
    <row r="116" spans="1:6">
      <c r="A116" s="100">
        <v>762</v>
      </c>
      <c r="B116" s="101" t="s">
        <v>387</v>
      </c>
      <c r="C116" s="101" t="s">
        <v>386</v>
      </c>
      <c r="D116" s="102">
        <v>0.64600000000000002</v>
      </c>
      <c r="E116" s="103">
        <v>0.86</v>
      </c>
    </row>
    <row r="117" spans="1:6">
      <c r="A117" s="100">
        <v>763</v>
      </c>
      <c r="B117" s="101" t="s">
        <v>388</v>
      </c>
      <c r="C117" s="101" t="s">
        <v>386</v>
      </c>
      <c r="D117" s="102">
        <v>0.85899999999999999</v>
      </c>
      <c r="E117" s="103">
        <v>0.57999999999999996</v>
      </c>
    </row>
    <row r="118" spans="1:6">
      <c r="A118" s="100">
        <v>895</v>
      </c>
      <c r="B118" s="101" t="s">
        <v>389</v>
      </c>
      <c r="C118" s="101" t="s">
        <v>390</v>
      </c>
      <c r="D118" s="102">
        <v>0.745</v>
      </c>
      <c r="E118" s="103">
        <v>0.86</v>
      </c>
    </row>
    <row r="119" spans="1:6">
      <c r="A119" s="100">
        <v>890</v>
      </c>
      <c r="B119" s="101" t="s">
        <v>391</v>
      </c>
      <c r="C119" s="101" t="s">
        <v>392</v>
      </c>
      <c r="D119" s="102">
        <v>0.71699999999999997</v>
      </c>
      <c r="E119" s="103">
        <v>0.16</v>
      </c>
    </row>
    <row r="120" spans="1:6">
      <c r="A120" s="100">
        <v>891</v>
      </c>
      <c r="B120" s="101" t="s">
        <v>393</v>
      </c>
      <c r="C120" s="101" t="s">
        <v>392</v>
      </c>
      <c r="D120" s="102">
        <v>0.75800000000000001</v>
      </c>
      <c r="E120" s="103">
        <v>0.73</v>
      </c>
    </row>
    <row r="121" spans="1:6">
      <c r="A121" s="100">
        <v>887</v>
      </c>
      <c r="B121" s="101" t="s">
        <v>394</v>
      </c>
      <c r="C121" s="101" t="s">
        <v>395</v>
      </c>
      <c r="D121" s="102">
        <v>0.90900000000000003</v>
      </c>
      <c r="E121" s="103">
        <v>-7.0000000000000007E-2</v>
      </c>
    </row>
    <row r="122" spans="1:6">
      <c r="A122" s="100">
        <v>892</v>
      </c>
      <c r="B122" s="101" t="s">
        <v>396</v>
      </c>
      <c r="C122" s="101" t="s">
        <v>395</v>
      </c>
      <c r="D122" s="102">
        <v>0.86399999999999999</v>
      </c>
      <c r="E122" s="103">
        <v>0.47</v>
      </c>
    </row>
    <row r="123" spans="1:6">
      <c r="A123" s="100">
        <v>893</v>
      </c>
      <c r="B123" s="101" t="s">
        <v>397</v>
      </c>
      <c r="C123" s="101" t="s">
        <v>398</v>
      </c>
      <c r="D123" s="102">
        <v>0.75600000000000001</v>
      </c>
      <c r="E123" s="103">
        <v>0.36</v>
      </c>
    </row>
    <row r="124" spans="1:6">
      <c r="A124" s="100">
        <v>897</v>
      </c>
      <c r="B124" s="101" t="s">
        <v>399</v>
      </c>
      <c r="C124" s="101" t="s">
        <v>398</v>
      </c>
      <c r="D124" s="102">
        <v>0.59499999999999997</v>
      </c>
      <c r="E124" s="103">
        <v>0.56999999999999995</v>
      </c>
    </row>
    <row r="125" spans="1:6">
      <c r="A125" s="100">
        <v>898</v>
      </c>
      <c r="B125" s="101" t="s">
        <v>400</v>
      </c>
      <c r="C125" s="101" t="s">
        <v>398</v>
      </c>
      <c r="D125" s="102">
        <v>0.60899999999999999</v>
      </c>
      <c r="E125" s="103">
        <v>1.74</v>
      </c>
    </row>
    <row r="126" spans="1:6">
      <c r="A126" s="100">
        <v>899</v>
      </c>
      <c r="B126" s="101" t="s">
        <v>401</v>
      </c>
      <c r="C126" s="101" t="s">
        <v>398</v>
      </c>
      <c r="D126" s="102">
        <v>0.60799999999999998</v>
      </c>
      <c r="E126" s="103">
        <v>1.41</v>
      </c>
    </row>
    <row r="127" spans="1:6">
      <c r="A127" s="100">
        <v>807</v>
      </c>
      <c r="B127" s="101" t="s">
        <v>402</v>
      </c>
      <c r="C127" s="101" t="s">
        <v>402</v>
      </c>
      <c r="D127" s="102">
        <v>0.91500000000000004</v>
      </c>
      <c r="E127" s="103">
        <v>0.09</v>
      </c>
    </row>
    <row r="128" spans="1:6">
      <c r="A128" s="100">
        <v>809</v>
      </c>
      <c r="B128" s="101" t="s">
        <v>403</v>
      </c>
      <c r="C128" s="101" t="s">
        <v>402</v>
      </c>
      <c r="D128" s="102">
        <v>0.872</v>
      </c>
      <c r="E128" s="103">
        <v>0.41</v>
      </c>
    </row>
    <row r="129" spans="1:5" s="95" customFormat="1">
      <c r="A129" s="100">
        <v>813</v>
      </c>
      <c r="B129" s="101" t="s">
        <v>404</v>
      </c>
      <c r="C129" s="101" t="s">
        <v>404</v>
      </c>
      <c r="D129" s="102">
        <v>0.84</v>
      </c>
      <c r="E129" s="103">
        <v>-0.14000000000000001</v>
      </c>
    </row>
    <row r="130" spans="1:5" s="95" customFormat="1">
      <c r="A130" s="100">
        <v>800</v>
      </c>
      <c r="B130" s="101" t="s">
        <v>405</v>
      </c>
      <c r="C130" s="101" t="s">
        <v>406</v>
      </c>
      <c r="D130" s="102">
        <v>0.73899999999999999</v>
      </c>
      <c r="E130" s="103">
        <v>0.74</v>
      </c>
    </row>
    <row r="131" spans="1:5" s="95" customFormat="1">
      <c r="A131" s="109">
        <v>805</v>
      </c>
      <c r="B131" s="110" t="s">
        <v>407</v>
      </c>
      <c r="C131" s="110" t="s">
        <v>406</v>
      </c>
      <c r="D131" s="111">
        <v>0.57899999999999996</v>
      </c>
      <c r="E131" s="112">
        <v>1.34</v>
      </c>
    </row>
    <row r="132" spans="1:5" s="95" customFormat="1">
      <c r="A132" s="109">
        <v>812</v>
      </c>
      <c r="B132" s="110" t="s">
        <v>408</v>
      </c>
      <c r="C132" s="110" t="s">
        <v>406</v>
      </c>
      <c r="D132" s="111">
        <v>0.83099999999999996</v>
      </c>
      <c r="E132" s="112">
        <v>0.18</v>
      </c>
    </row>
    <row r="133" spans="1:5" s="95" customFormat="1">
      <c r="A133" s="109">
        <v>816</v>
      </c>
      <c r="B133" s="110" t="s">
        <v>409</v>
      </c>
      <c r="C133" s="110" t="s">
        <v>406</v>
      </c>
      <c r="D133" s="111">
        <v>0.85599999999999998</v>
      </c>
      <c r="E133" s="112">
        <v>1.37</v>
      </c>
    </row>
    <row r="134" spans="1:5" s="95" customFormat="1">
      <c r="A134" s="109">
        <v>817</v>
      </c>
      <c r="B134" s="110" t="s">
        <v>406</v>
      </c>
      <c r="C134" s="110" t="s">
        <v>406</v>
      </c>
      <c r="D134" s="111">
        <v>0.86799999999999999</v>
      </c>
      <c r="E134" s="112">
        <v>0.17</v>
      </c>
    </row>
    <row r="135" spans="1:5" s="95" customFormat="1">
      <c r="A135" s="109">
        <v>818</v>
      </c>
      <c r="B135" s="110" t="s">
        <v>410</v>
      </c>
      <c r="C135" s="110" t="s">
        <v>406</v>
      </c>
      <c r="D135" s="111">
        <v>0.65700000000000003</v>
      </c>
      <c r="E135" s="112">
        <v>0.54</v>
      </c>
    </row>
    <row r="136" spans="1:5" s="95" customFormat="1">
      <c r="A136" s="109">
        <v>843</v>
      </c>
      <c r="B136" s="110" t="s">
        <v>411</v>
      </c>
      <c r="C136" s="110" t="s">
        <v>406</v>
      </c>
      <c r="D136" s="111">
        <v>0.71399999999999997</v>
      </c>
      <c r="E136" s="112">
        <v>1.61</v>
      </c>
    </row>
    <row r="137" spans="1:5" s="95" customFormat="1">
      <c r="A137" s="109">
        <v>819</v>
      </c>
      <c r="B137" s="110" t="s">
        <v>412</v>
      </c>
      <c r="C137" s="110" t="s">
        <v>412</v>
      </c>
      <c r="D137" s="111">
        <v>0.873</v>
      </c>
      <c r="E137" s="112">
        <v>0.27</v>
      </c>
    </row>
    <row r="138" spans="1:5" s="95" customFormat="1">
      <c r="A138" s="109">
        <v>821</v>
      </c>
      <c r="B138" s="110" t="s">
        <v>413</v>
      </c>
      <c r="C138" s="110" t="s">
        <v>412</v>
      </c>
      <c r="D138" s="111">
        <v>0.98199999999999998</v>
      </c>
      <c r="E138" s="112">
        <v>0.26</v>
      </c>
    </row>
    <row r="139" spans="1:5" s="95" customFormat="1">
      <c r="A139" s="109">
        <v>824</v>
      </c>
      <c r="B139" s="110" t="s">
        <v>414</v>
      </c>
      <c r="C139" s="110" t="s">
        <v>412</v>
      </c>
      <c r="D139" s="111">
        <v>1.054</v>
      </c>
      <c r="E139" s="112">
        <v>0.02</v>
      </c>
    </row>
    <row r="140" spans="1:5" s="95" customFormat="1">
      <c r="A140" s="109">
        <v>838</v>
      </c>
      <c r="B140" s="110" t="s">
        <v>415</v>
      </c>
      <c r="C140" s="110" t="s">
        <v>412</v>
      </c>
      <c r="D140" s="111">
        <v>0.78900000000000003</v>
      </c>
      <c r="E140" s="112">
        <v>0.44</v>
      </c>
    </row>
    <row r="141" spans="1:5" s="95" customFormat="1">
      <c r="A141" s="109">
        <v>814</v>
      </c>
      <c r="B141" s="110" t="s">
        <v>416</v>
      </c>
      <c r="C141" s="110" t="s">
        <v>417</v>
      </c>
      <c r="D141" s="111">
        <v>0.94</v>
      </c>
      <c r="E141" s="112">
        <v>0.01</v>
      </c>
    </row>
    <row r="142" spans="1:5" s="95" customFormat="1">
      <c r="A142" s="109">
        <v>815</v>
      </c>
      <c r="B142" s="110" t="s">
        <v>417</v>
      </c>
      <c r="C142" s="110" t="s">
        <v>417</v>
      </c>
      <c r="D142" s="111">
        <v>0.754</v>
      </c>
      <c r="E142" s="112">
        <v>0.66</v>
      </c>
    </row>
    <row r="143" spans="1:5" s="95" customFormat="1">
      <c r="A143" s="109">
        <v>822</v>
      </c>
      <c r="B143" s="110" t="s">
        <v>418</v>
      </c>
      <c r="C143" s="110" t="s">
        <v>419</v>
      </c>
      <c r="D143" s="111">
        <v>0.67600000000000005</v>
      </c>
      <c r="E143" s="112">
        <v>0.67</v>
      </c>
    </row>
    <row r="144" spans="1:5" s="95" customFormat="1">
      <c r="A144" s="109">
        <v>829</v>
      </c>
      <c r="B144" s="110" t="s">
        <v>420</v>
      </c>
      <c r="C144" s="110" t="s">
        <v>419</v>
      </c>
      <c r="D144" s="111">
        <v>0.83499999999999996</v>
      </c>
      <c r="E144" s="112">
        <v>0.28000000000000003</v>
      </c>
    </row>
    <row r="145" spans="1:5" s="95" customFormat="1">
      <c r="A145" s="109">
        <v>830</v>
      </c>
      <c r="B145" s="110" t="s">
        <v>419</v>
      </c>
      <c r="C145" s="110" t="s">
        <v>419</v>
      </c>
      <c r="D145" s="111">
        <v>0.78700000000000003</v>
      </c>
      <c r="E145" s="112">
        <v>0.28999999999999998</v>
      </c>
    </row>
    <row r="146" spans="1:5" s="95" customFormat="1">
      <c r="A146" s="109">
        <v>835</v>
      </c>
      <c r="B146" s="110" t="s">
        <v>421</v>
      </c>
      <c r="C146" s="110" t="s">
        <v>419</v>
      </c>
      <c r="D146" s="111">
        <v>0.80100000000000005</v>
      </c>
      <c r="E146" s="112">
        <v>0.16</v>
      </c>
    </row>
    <row r="147" spans="1:5" s="95" customFormat="1">
      <c r="A147" s="109">
        <v>823</v>
      </c>
      <c r="B147" s="110" t="s">
        <v>422</v>
      </c>
      <c r="C147" s="110" t="s">
        <v>423</v>
      </c>
      <c r="D147" s="111">
        <v>0.79</v>
      </c>
      <c r="E147" s="112">
        <v>0.75</v>
      </c>
    </row>
    <row r="148" spans="1:5" s="95" customFormat="1">
      <c r="A148" s="109">
        <v>827</v>
      </c>
      <c r="B148" s="110" t="s">
        <v>423</v>
      </c>
      <c r="C148" s="110" t="s">
        <v>423</v>
      </c>
      <c r="D148" s="111">
        <v>0.97099999999999997</v>
      </c>
      <c r="E148" s="112">
        <v>0.27</v>
      </c>
    </row>
    <row r="149" spans="1:5" s="95" customFormat="1">
      <c r="A149" s="109">
        <v>831</v>
      </c>
      <c r="B149" s="110" t="s">
        <v>424</v>
      </c>
      <c r="C149" s="110" t="s">
        <v>423</v>
      </c>
      <c r="D149" s="111">
        <v>0.82599999999999996</v>
      </c>
      <c r="E149" s="112">
        <v>0.68</v>
      </c>
    </row>
    <row r="150" spans="1:5" s="95" customFormat="1">
      <c r="A150" s="109">
        <v>836</v>
      </c>
      <c r="B150" s="110" t="s">
        <v>425</v>
      </c>
      <c r="C150" s="110" t="s">
        <v>423</v>
      </c>
      <c r="D150" s="111">
        <v>0.85399999999999998</v>
      </c>
      <c r="E150" s="112">
        <v>1.1599999999999999</v>
      </c>
    </row>
    <row r="151" spans="1:5" s="95" customFormat="1">
      <c r="A151" s="109">
        <v>837</v>
      </c>
      <c r="B151" s="110" t="s">
        <v>426</v>
      </c>
      <c r="C151" s="110" t="s">
        <v>423</v>
      </c>
      <c r="D151" s="111">
        <v>0.66</v>
      </c>
      <c r="E151" s="112">
        <v>1.2</v>
      </c>
    </row>
    <row r="152" spans="1:5" s="95" customFormat="1">
      <c r="A152" s="109">
        <v>909</v>
      </c>
      <c r="B152" s="110" t="s">
        <v>427</v>
      </c>
      <c r="C152" s="110" t="s">
        <v>423</v>
      </c>
      <c r="D152" s="111">
        <v>0.71499999999999997</v>
      </c>
      <c r="E152" s="112">
        <v>0.92</v>
      </c>
    </row>
    <row r="153" spans="1:5" s="95" customFormat="1" ht="15" thickBot="1">
      <c r="A153" s="113">
        <v>941</v>
      </c>
      <c r="B153" s="114" t="s">
        <v>428</v>
      </c>
      <c r="C153" s="114" t="s">
        <v>423</v>
      </c>
      <c r="D153" s="115">
        <v>0.68</v>
      </c>
      <c r="E153" s="116">
        <v>1.59</v>
      </c>
    </row>
    <row r="155" spans="1:5" s="95" customFormat="1">
      <c r="A155" s="97" t="s">
        <v>429</v>
      </c>
      <c r="E155" s="96"/>
    </row>
  </sheetData>
  <mergeCells count="4">
    <mergeCell ref="A5:A6"/>
    <mergeCell ref="B5:B6"/>
    <mergeCell ref="C5:C6"/>
    <mergeCell ref="D5:E5"/>
  </mergeCells>
  <phoneticPr fontId="18"/>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2:B7"/>
  <sheetViews>
    <sheetView workbookViewId="0">
      <selection activeCell="R20" sqref="R20"/>
    </sheetView>
  </sheetViews>
  <sheetFormatPr defaultColWidth="12.8984375" defaultRowHeight="14.4"/>
  <cols>
    <col min="1" max="1" width="3.8984375" customWidth="1"/>
  </cols>
  <sheetData>
    <row r="2" spans="1:2">
      <c r="A2" t="s">
        <v>198</v>
      </c>
      <c r="B2" t="s">
        <v>199</v>
      </c>
    </row>
    <row r="3" spans="1:2">
      <c r="B3" s="51" t="s">
        <v>200</v>
      </c>
    </row>
    <row r="5" spans="1:2">
      <c r="A5" t="s">
        <v>201</v>
      </c>
      <c r="B5" t="s">
        <v>202</v>
      </c>
    </row>
    <row r="7" spans="1:2">
      <c r="A7" t="s">
        <v>203</v>
      </c>
      <c r="B7" t="s">
        <v>204</v>
      </c>
    </row>
  </sheetData>
  <phoneticPr fontId="18"/>
  <hyperlinks>
    <hyperlink ref="B3" r:id="rId1"/>
  </hyperlinks>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G6"/>
  <sheetViews>
    <sheetView workbookViewId="0">
      <selection activeCell="R20" sqref="R20"/>
    </sheetView>
  </sheetViews>
  <sheetFormatPr defaultColWidth="12.8984375" defaultRowHeight="14.4"/>
  <cols>
    <col min="6" max="6" width="18.09765625" customWidth="1"/>
    <col min="7" max="7" width="11.59765625" customWidth="1"/>
  </cols>
  <sheetData>
    <row r="1" spans="1:7" s="81" customFormat="1" ht="28.8">
      <c r="A1" s="87" t="s">
        <v>194</v>
      </c>
      <c r="B1" s="87" t="s">
        <v>227</v>
      </c>
      <c r="C1" s="87" t="s">
        <v>226</v>
      </c>
      <c r="D1" s="87" t="s">
        <v>225</v>
      </c>
      <c r="E1" s="88" t="s">
        <v>197</v>
      </c>
      <c r="F1" s="88" t="s">
        <v>230</v>
      </c>
      <c r="G1" s="88" t="s">
        <v>437</v>
      </c>
    </row>
    <row r="2" spans="1:7">
      <c r="A2" s="81" t="s">
        <v>229</v>
      </c>
      <c r="B2" s="81" t="s">
        <v>228</v>
      </c>
      <c r="C2" s="80">
        <v>2016</v>
      </c>
      <c r="D2" s="80">
        <v>1</v>
      </c>
      <c r="E2">
        <v>5.8</v>
      </c>
      <c r="F2">
        <v>10.199999999999999</v>
      </c>
    </row>
    <row r="3" spans="1:7">
      <c r="A3" s="81" t="s">
        <v>229</v>
      </c>
      <c r="B3" s="81" t="s">
        <v>228</v>
      </c>
      <c r="C3" s="80">
        <v>2016</v>
      </c>
      <c r="D3" s="80">
        <v>2</v>
      </c>
      <c r="E3">
        <v>6.5</v>
      </c>
      <c r="F3">
        <v>12.6</v>
      </c>
    </row>
    <row r="4" spans="1:7">
      <c r="A4" s="81" t="s">
        <v>229</v>
      </c>
      <c r="B4" s="81" t="s">
        <v>228</v>
      </c>
      <c r="C4" s="80">
        <v>2016</v>
      </c>
      <c r="D4" s="80">
        <v>3</v>
      </c>
      <c r="E4">
        <v>10.5</v>
      </c>
      <c r="F4">
        <v>17.2</v>
      </c>
    </row>
    <row r="5" spans="1:7">
      <c r="A5" s="81" t="s">
        <v>229</v>
      </c>
      <c r="B5" s="81" t="s">
        <v>228</v>
      </c>
      <c r="C5" s="80">
        <v>2016</v>
      </c>
      <c r="D5" s="80">
        <v>4</v>
      </c>
      <c r="E5">
        <v>15.9</v>
      </c>
      <c r="F5">
        <v>16.600000000000001</v>
      </c>
    </row>
    <row r="6" spans="1:7">
      <c r="A6" s="81" t="s">
        <v>229</v>
      </c>
      <c r="B6" s="81" t="s">
        <v>228</v>
      </c>
      <c r="C6" s="80">
        <v>2016</v>
      </c>
      <c r="D6" s="80">
        <v>5</v>
      </c>
      <c r="E6">
        <v>20.6</v>
      </c>
      <c r="F6">
        <v>19.5</v>
      </c>
    </row>
  </sheetData>
  <phoneticPr fontId="18"/>
  <pageMargins left="0.7" right="0.7" top="0.75" bottom="0.75" header="0.3" footer="0.3"/>
  <pageSetup paperSize="9" orientation="portrait" horizontalDpi="4294967292" verticalDpi="4294967292"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I20"/>
  <sheetViews>
    <sheetView zoomScaleNormal="100" workbookViewId="0">
      <selection activeCell="B1" sqref="B1"/>
    </sheetView>
  </sheetViews>
  <sheetFormatPr defaultColWidth="13" defaultRowHeight="14.4"/>
  <cols>
    <col min="1" max="1" width="1.296875" style="885" customWidth="1"/>
    <col min="2" max="2" width="19" style="885" bestFit="1" customWidth="1"/>
    <col min="3" max="3" width="18.3984375" style="885" bestFit="1" customWidth="1"/>
    <col min="4" max="4" width="25.69921875" style="885" customWidth="1"/>
    <col min="5" max="5" width="11.3984375" style="888" customWidth="1"/>
    <col min="6" max="6" width="11.59765625" style="885" customWidth="1"/>
    <col min="7" max="7" width="11.09765625" style="885" bestFit="1" customWidth="1"/>
    <col min="8" max="8" width="55.796875" style="889" customWidth="1"/>
    <col min="9" max="9" width="2.5" style="885" customWidth="1"/>
    <col min="10" max="16384" width="13" style="885"/>
  </cols>
  <sheetData>
    <row r="1" spans="1:9" ht="16.2">
      <c r="A1" s="882"/>
      <c r="B1" s="893" t="s">
        <v>1166</v>
      </c>
      <c r="C1" s="882"/>
      <c r="D1" s="882"/>
      <c r="E1" s="883"/>
      <c r="F1" s="882"/>
      <c r="G1" s="882"/>
      <c r="H1" s="884"/>
      <c r="I1" s="882"/>
    </row>
    <row r="2" spans="1:9" ht="8.25" customHeight="1" thickBot="1">
      <c r="A2" s="882"/>
      <c r="B2" s="882"/>
      <c r="C2" s="882"/>
      <c r="D2" s="882"/>
      <c r="E2" s="883"/>
      <c r="F2" s="882"/>
      <c r="G2" s="882"/>
      <c r="H2" s="884"/>
      <c r="I2" s="882"/>
    </row>
    <row r="3" spans="1:9" ht="26.4">
      <c r="A3" s="882"/>
      <c r="B3" s="894" t="s">
        <v>1114</v>
      </c>
      <c r="C3" s="895" t="s">
        <v>747</v>
      </c>
      <c r="D3" s="896" t="s">
        <v>746</v>
      </c>
      <c r="E3" s="896"/>
      <c r="F3" s="897" t="s">
        <v>1107</v>
      </c>
      <c r="G3" s="895" t="s">
        <v>48</v>
      </c>
      <c r="H3" s="898" t="s">
        <v>752</v>
      </c>
      <c r="I3" s="882"/>
    </row>
    <row r="4" spans="1:9" s="887" customFormat="1" ht="35.4" customHeight="1">
      <c r="A4" s="886"/>
      <c r="B4" s="899" t="s">
        <v>1285</v>
      </c>
      <c r="C4" s="900" t="s">
        <v>1285</v>
      </c>
      <c r="D4" s="901" t="s">
        <v>1201</v>
      </c>
      <c r="E4" s="901"/>
      <c r="F4" s="902">
        <f>CO2固定!H6</f>
        <v>7.6924999999999999</v>
      </c>
      <c r="G4" s="903" t="s">
        <v>1286</v>
      </c>
      <c r="H4" s="904" t="s">
        <v>1275</v>
      </c>
      <c r="I4" s="886"/>
    </row>
    <row r="5" spans="1:9" s="887" customFormat="1" ht="35.4" customHeight="1">
      <c r="A5" s="886"/>
      <c r="B5" s="905" t="s">
        <v>1111</v>
      </c>
      <c r="C5" s="906" t="s">
        <v>1287</v>
      </c>
      <c r="D5" s="907" t="s">
        <v>1276</v>
      </c>
      <c r="E5" s="907"/>
      <c r="F5" s="908">
        <f>大気浄化!S4</f>
        <v>124.4</v>
      </c>
      <c r="G5" s="909" t="s">
        <v>1288</v>
      </c>
      <c r="H5" s="910" t="s">
        <v>1277</v>
      </c>
      <c r="I5" s="886"/>
    </row>
    <row r="6" spans="1:9" s="887" customFormat="1" ht="35.4" customHeight="1">
      <c r="A6" s="886"/>
      <c r="B6" s="911"/>
      <c r="C6" s="906" t="s">
        <v>1289</v>
      </c>
      <c r="D6" s="907" t="s">
        <v>1165</v>
      </c>
      <c r="E6" s="907"/>
      <c r="F6" s="908">
        <f>大気浄化!S5</f>
        <v>26.8</v>
      </c>
      <c r="G6" s="909" t="s">
        <v>1290</v>
      </c>
      <c r="H6" s="910" t="s">
        <v>1277</v>
      </c>
      <c r="I6" s="886"/>
    </row>
    <row r="7" spans="1:9" s="887" customFormat="1" ht="35.4" customHeight="1">
      <c r="A7" s="886"/>
      <c r="B7" s="912"/>
      <c r="C7" s="906" t="s">
        <v>1291</v>
      </c>
      <c r="D7" s="907" t="s">
        <v>1292</v>
      </c>
      <c r="E7" s="907"/>
      <c r="F7" s="908">
        <f>大気浄化!S6</f>
        <v>119.21666666666668</v>
      </c>
      <c r="G7" s="909" t="s">
        <v>1293</v>
      </c>
      <c r="H7" s="910" t="s">
        <v>1294</v>
      </c>
      <c r="I7" s="886"/>
    </row>
    <row r="8" spans="1:9" s="887" customFormat="1" ht="35.4" customHeight="1">
      <c r="A8" s="886"/>
      <c r="B8" s="913" t="s">
        <v>1167</v>
      </c>
      <c r="C8" s="906" t="s">
        <v>1295</v>
      </c>
      <c r="D8" s="907" t="s">
        <v>815</v>
      </c>
      <c r="E8" s="907"/>
      <c r="F8" s="908">
        <f>大気浄化!S7</f>
        <v>34.5</v>
      </c>
      <c r="G8" s="909" t="s">
        <v>1296</v>
      </c>
      <c r="H8" s="910" t="s">
        <v>1278</v>
      </c>
      <c r="I8" s="886"/>
    </row>
    <row r="9" spans="1:9" s="887" customFormat="1" ht="35.4" customHeight="1">
      <c r="A9" s="886"/>
      <c r="B9" s="913" t="s">
        <v>1112</v>
      </c>
      <c r="C9" s="906" t="s">
        <v>182</v>
      </c>
      <c r="D9" s="907" t="s">
        <v>681</v>
      </c>
      <c r="E9" s="914"/>
      <c r="F9" s="915">
        <f>貯水量!B6</f>
        <v>148.03889000000001</v>
      </c>
      <c r="G9" s="916" t="s">
        <v>1297</v>
      </c>
      <c r="H9" s="917" t="s">
        <v>1279</v>
      </c>
      <c r="I9" s="886"/>
    </row>
    <row r="10" spans="1:9" ht="35.4" customHeight="1">
      <c r="A10" s="882"/>
      <c r="B10" s="918" t="s">
        <v>1113</v>
      </c>
      <c r="C10" s="919" t="s">
        <v>1261</v>
      </c>
      <c r="D10" s="920" t="s">
        <v>1202</v>
      </c>
      <c r="E10" s="921" t="s">
        <v>681</v>
      </c>
      <c r="F10" s="922">
        <f>'蒸散（ドライミスト）1'!G5</f>
        <v>148.03889000000001</v>
      </c>
      <c r="G10" s="923" t="s">
        <v>1297</v>
      </c>
      <c r="H10" s="924" t="s">
        <v>1279</v>
      </c>
      <c r="I10" s="882"/>
    </row>
    <row r="11" spans="1:9" ht="35.4" customHeight="1" thickBot="1">
      <c r="A11" s="882"/>
      <c r="B11" s="925"/>
      <c r="C11" s="926"/>
      <c r="D11" s="927"/>
      <c r="E11" s="928" t="s">
        <v>751</v>
      </c>
      <c r="F11" s="929">
        <f>'蒸散（ドライミスト）1'!G17</f>
        <v>235.75</v>
      </c>
      <c r="G11" s="930" t="s">
        <v>1297</v>
      </c>
      <c r="H11" s="931" t="s">
        <v>1280</v>
      </c>
      <c r="I11" s="882"/>
    </row>
    <row r="12" spans="1:9">
      <c r="A12" s="882"/>
      <c r="B12" s="882"/>
      <c r="C12" s="882"/>
      <c r="D12" s="882"/>
      <c r="E12" s="883"/>
      <c r="F12" s="882"/>
      <c r="G12" s="882"/>
      <c r="H12" s="884"/>
      <c r="I12" s="882"/>
    </row>
    <row r="13" spans="1:9">
      <c r="A13" s="882"/>
      <c r="B13" s="882" t="s">
        <v>1262</v>
      </c>
      <c r="C13" s="882"/>
      <c r="D13" s="882"/>
      <c r="E13" s="883"/>
      <c r="F13" s="882"/>
      <c r="G13" s="882"/>
      <c r="H13" s="884"/>
      <c r="I13" s="882"/>
    </row>
    <row r="14" spans="1:9">
      <c r="A14" s="882"/>
      <c r="B14" s="932" t="s">
        <v>1263</v>
      </c>
      <c r="C14" s="932"/>
      <c r="D14" s="932"/>
      <c r="E14" s="932"/>
      <c r="F14" s="932"/>
      <c r="G14" s="932"/>
      <c r="H14" s="932"/>
      <c r="I14" s="882"/>
    </row>
    <row r="15" spans="1:9">
      <c r="A15" s="882"/>
      <c r="B15" s="933" t="s">
        <v>1281</v>
      </c>
      <c r="C15" s="933"/>
      <c r="D15" s="933"/>
      <c r="E15" s="933"/>
      <c r="F15" s="933"/>
      <c r="G15" s="933"/>
      <c r="H15" s="933"/>
      <c r="I15" s="882"/>
    </row>
    <row r="16" spans="1:9" ht="25.2" customHeight="1">
      <c r="A16" s="882"/>
      <c r="B16" s="934" t="s">
        <v>1298</v>
      </c>
      <c r="C16" s="934"/>
      <c r="D16" s="934"/>
      <c r="E16" s="934"/>
      <c r="F16" s="934"/>
      <c r="G16" s="934"/>
      <c r="H16" s="934"/>
      <c r="I16" s="882"/>
    </row>
    <row r="17" spans="1:9">
      <c r="A17" s="882"/>
      <c r="B17" s="935" t="s">
        <v>1282</v>
      </c>
      <c r="C17" s="935"/>
      <c r="D17" s="935"/>
      <c r="E17" s="935"/>
      <c r="F17" s="935"/>
      <c r="G17" s="935"/>
      <c r="H17" s="935"/>
      <c r="I17" s="882"/>
    </row>
    <row r="18" spans="1:9">
      <c r="A18" s="882"/>
      <c r="B18" s="932" t="s">
        <v>1283</v>
      </c>
      <c r="C18" s="932"/>
      <c r="D18" s="932"/>
      <c r="E18" s="932"/>
      <c r="F18" s="932"/>
      <c r="G18" s="932"/>
      <c r="H18" s="932"/>
      <c r="I18" s="882"/>
    </row>
    <row r="19" spans="1:9">
      <c r="A19" s="882"/>
      <c r="B19" s="936" t="s">
        <v>1284</v>
      </c>
      <c r="C19" s="936"/>
      <c r="D19" s="936"/>
      <c r="E19" s="936"/>
      <c r="F19" s="936"/>
      <c r="G19" s="936"/>
      <c r="H19" s="936"/>
      <c r="I19" s="882"/>
    </row>
    <row r="20" spans="1:9">
      <c r="A20" s="882"/>
      <c r="B20" s="882"/>
      <c r="C20" s="882"/>
      <c r="D20" s="882"/>
      <c r="E20" s="883"/>
      <c r="F20" s="882"/>
      <c r="G20" s="882"/>
      <c r="H20" s="884"/>
      <c r="I20" s="882"/>
    </row>
  </sheetData>
  <sheetProtection password="E605" sheet="1" objects="1" scenarios="1"/>
  <mergeCells count="17">
    <mergeCell ref="B17:H17"/>
    <mergeCell ref="B16:H16"/>
    <mergeCell ref="B18:H18"/>
    <mergeCell ref="B15:H15"/>
    <mergeCell ref="B19:H19"/>
    <mergeCell ref="B14:H14"/>
    <mergeCell ref="B10:B11"/>
    <mergeCell ref="C10:C11"/>
    <mergeCell ref="D5:E5"/>
    <mergeCell ref="D6:E6"/>
    <mergeCell ref="D9:E9"/>
    <mergeCell ref="D10:D11"/>
    <mergeCell ref="D3:E3"/>
    <mergeCell ref="D4:E4"/>
    <mergeCell ref="B5:B7"/>
    <mergeCell ref="D7:E7"/>
    <mergeCell ref="D8:E8"/>
  </mergeCells>
  <phoneticPr fontId="18"/>
  <pageMargins left="0.7" right="0.7" top="0.75" bottom="0.75" header="0.3" footer="0.3"/>
  <pageSetup paperSize="9" scale="7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24"/>
  <sheetViews>
    <sheetView zoomScaleNormal="100" workbookViewId="0">
      <selection activeCell="B1" sqref="B1"/>
    </sheetView>
  </sheetViews>
  <sheetFormatPr defaultColWidth="9" defaultRowHeight="13.2"/>
  <cols>
    <col min="1" max="1" width="1.8984375" style="890" customWidth="1"/>
    <col min="2" max="2" width="5.69921875" style="890" customWidth="1"/>
    <col min="3" max="3" width="33.5" style="891" customWidth="1"/>
    <col min="4" max="4" width="113.09765625" style="892" customWidth="1"/>
    <col min="5" max="5" width="2.09765625" style="890" customWidth="1"/>
    <col min="6" max="16384" width="9" style="890"/>
  </cols>
  <sheetData>
    <row r="1" spans="1:5" ht="16.2">
      <c r="A1" s="875"/>
      <c r="B1" s="408" t="s">
        <v>1108</v>
      </c>
      <c r="C1" s="409"/>
      <c r="D1" s="406"/>
      <c r="E1" s="875"/>
    </row>
    <row r="2" spans="1:5" ht="9" customHeight="1">
      <c r="A2" s="875"/>
      <c r="B2" s="408"/>
      <c r="C2" s="409"/>
      <c r="D2" s="406"/>
      <c r="E2" s="875"/>
    </row>
    <row r="3" spans="1:5" ht="14.25" customHeight="1">
      <c r="A3" s="875"/>
      <c r="B3" s="848" t="s">
        <v>1109</v>
      </c>
      <c r="C3" s="848"/>
      <c r="D3" s="849" t="s">
        <v>1110</v>
      </c>
      <c r="E3" s="875"/>
    </row>
    <row r="4" spans="1:5" ht="26.4">
      <c r="A4" s="875"/>
      <c r="B4" s="851" t="s">
        <v>1094</v>
      </c>
      <c r="C4" s="851"/>
      <c r="D4" s="852" t="s">
        <v>1303</v>
      </c>
      <c r="E4" s="875"/>
    </row>
    <row r="5" spans="1:5" ht="26.4">
      <c r="A5" s="875"/>
      <c r="B5" s="853"/>
      <c r="C5" s="853"/>
      <c r="D5" s="854" t="s">
        <v>1269</v>
      </c>
      <c r="E5" s="875"/>
    </row>
    <row r="6" spans="1:5" ht="26.4">
      <c r="A6" s="875"/>
      <c r="B6" s="855" t="s">
        <v>1095</v>
      </c>
      <c r="C6" s="855"/>
      <c r="D6" s="856" t="s">
        <v>1304</v>
      </c>
      <c r="E6" s="875"/>
    </row>
    <row r="7" spans="1:5" ht="39.6">
      <c r="A7" s="875"/>
      <c r="B7" s="857"/>
      <c r="C7" s="857"/>
      <c r="D7" s="858" t="s">
        <v>1305</v>
      </c>
      <c r="E7" s="875"/>
    </row>
    <row r="8" spans="1:5">
      <c r="A8" s="875"/>
      <c r="B8" s="857"/>
      <c r="C8" s="857"/>
      <c r="D8" s="858" t="s">
        <v>1306</v>
      </c>
      <c r="E8" s="875"/>
    </row>
    <row r="9" spans="1:5" ht="92.4">
      <c r="A9" s="875"/>
      <c r="B9" s="857"/>
      <c r="C9" s="857"/>
      <c r="D9" s="858" t="s">
        <v>1307</v>
      </c>
      <c r="E9" s="875"/>
    </row>
    <row r="10" spans="1:5">
      <c r="A10" s="875"/>
      <c r="B10" s="857"/>
      <c r="C10" s="857"/>
      <c r="D10" s="858" t="s">
        <v>1308</v>
      </c>
      <c r="E10" s="875"/>
    </row>
    <row r="11" spans="1:5">
      <c r="A11" s="875"/>
      <c r="B11" s="859"/>
      <c r="C11" s="859"/>
      <c r="D11" s="860" t="s">
        <v>1076</v>
      </c>
      <c r="E11" s="875"/>
    </row>
    <row r="12" spans="1:5" ht="28.8">
      <c r="A12" s="875"/>
      <c r="B12" s="861" t="s">
        <v>1200</v>
      </c>
      <c r="C12" s="862" t="s">
        <v>1104</v>
      </c>
      <c r="D12" s="863" t="s">
        <v>1105</v>
      </c>
      <c r="E12" s="875"/>
    </row>
    <row r="13" spans="1:5" ht="15.6">
      <c r="A13" s="875"/>
      <c r="B13" s="864"/>
      <c r="C13" s="865" t="s">
        <v>1106</v>
      </c>
      <c r="D13" s="866" t="s">
        <v>1309</v>
      </c>
      <c r="E13" s="875"/>
    </row>
    <row r="14" spans="1:5" ht="28.8">
      <c r="A14" s="875"/>
      <c r="B14" s="864"/>
      <c r="C14" s="865" t="s">
        <v>1096</v>
      </c>
      <c r="D14" s="867" t="s">
        <v>1310</v>
      </c>
      <c r="E14" s="875"/>
    </row>
    <row r="15" spans="1:5" ht="31.2">
      <c r="A15" s="875"/>
      <c r="B15" s="864"/>
      <c r="C15" s="865" t="s">
        <v>1097</v>
      </c>
      <c r="D15" s="867" t="s">
        <v>1311</v>
      </c>
      <c r="E15" s="875"/>
    </row>
    <row r="16" spans="1:5">
      <c r="A16" s="875"/>
      <c r="B16" s="864"/>
      <c r="C16" s="865" t="s">
        <v>1098</v>
      </c>
      <c r="D16" s="867" t="s">
        <v>1312</v>
      </c>
      <c r="E16" s="875"/>
    </row>
    <row r="17" spans="1:5">
      <c r="A17" s="875"/>
      <c r="B17" s="864"/>
      <c r="C17" s="865" t="s">
        <v>1099</v>
      </c>
      <c r="D17" s="867" t="s">
        <v>1100</v>
      </c>
      <c r="E17" s="875"/>
    </row>
    <row r="18" spans="1:5">
      <c r="A18" s="875"/>
      <c r="B18" s="864"/>
      <c r="C18" s="865" t="s">
        <v>1101</v>
      </c>
      <c r="D18" s="867" t="s">
        <v>1313</v>
      </c>
      <c r="E18" s="875"/>
    </row>
    <row r="19" spans="1:5">
      <c r="A19" s="875"/>
      <c r="B19" s="864"/>
      <c r="C19" s="865" t="s">
        <v>1102</v>
      </c>
      <c r="D19" s="867" t="s">
        <v>1314</v>
      </c>
      <c r="E19" s="875"/>
    </row>
    <row r="20" spans="1:5" ht="26.4">
      <c r="A20" s="875"/>
      <c r="B20" s="868"/>
      <c r="C20" s="869" t="s">
        <v>1103</v>
      </c>
      <c r="D20" s="870" t="s">
        <v>1315</v>
      </c>
      <c r="E20" s="875"/>
    </row>
    <row r="21" spans="1:5" ht="26.4">
      <c r="A21" s="875"/>
      <c r="B21" s="559" t="s">
        <v>1205</v>
      </c>
      <c r="C21" s="559"/>
      <c r="D21" s="850" t="s">
        <v>1204</v>
      </c>
      <c r="E21" s="875"/>
    </row>
    <row r="22" spans="1:5">
      <c r="A22" s="875"/>
      <c r="B22" s="871" t="s">
        <v>1206</v>
      </c>
      <c r="C22" s="871"/>
      <c r="D22" s="872" t="s">
        <v>1203</v>
      </c>
      <c r="E22" s="875"/>
    </row>
    <row r="23" spans="1:5">
      <c r="A23" s="875"/>
      <c r="B23" s="873"/>
      <c r="C23" s="873"/>
      <c r="D23" s="874" t="s">
        <v>1264</v>
      </c>
      <c r="E23" s="875"/>
    </row>
    <row r="24" spans="1:5">
      <c r="A24" s="875"/>
      <c r="B24" s="876"/>
      <c r="C24" s="876"/>
      <c r="D24" s="406"/>
      <c r="E24" s="875"/>
    </row>
  </sheetData>
  <sheetProtection password="E605" sheet="1" objects="1" scenarios="1"/>
  <mergeCells count="7">
    <mergeCell ref="B24:C24"/>
    <mergeCell ref="B4:C5"/>
    <mergeCell ref="B6:C11"/>
    <mergeCell ref="B12:B20"/>
    <mergeCell ref="B3:C3"/>
    <mergeCell ref="B21:C21"/>
    <mergeCell ref="B22:C23"/>
  </mergeCells>
  <phoneticPr fontId="18"/>
  <pageMargins left="0.7" right="0.7" top="0.75" bottom="0.75" header="0.3" footer="0.3"/>
  <pageSetup paperSize="9" scale="7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00FF"/>
    <pageSetUpPr fitToPage="1"/>
  </sheetPr>
  <dimension ref="A1:V142"/>
  <sheetViews>
    <sheetView zoomScale="85" zoomScaleNormal="85" workbookViewId="0">
      <selection activeCell="R20" sqref="R20"/>
    </sheetView>
  </sheetViews>
  <sheetFormatPr defaultColWidth="12.8984375" defaultRowHeight="14.4"/>
  <cols>
    <col min="1" max="1" width="13.59765625" bestFit="1" customWidth="1"/>
    <col min="2" max="2" width="12.09765625" bestFit="1" customWidth="1"/>
    <col min="3" max="3" width="8.69921875" customWidth="1"/>
    <col min="4" max="4" width="2.3984375" customWidth="1"/>
    <col min="5" max="9" width="13.5" customWidth="1"/>
    <col min="10" max="10" width="12.09765625" customWidth="1"/>
    <col min="11" max="15" width="13.5" customWidth="1"/>
    <col min="16" max="16" width="7.59765625" customWidth="1"/>
    <col min="17" max="17" width="3.09765625" customWidth="1"/>
    <col min="18" max="18" width="15.59765625" customWidth="1"/>
    <col min="19" max="19" width="12.69921875" customWidth="1"/>
    <col min="20" max="20" width="16.3984375" customWidth="1"/>
    <col min="21" max="21" width="11.09765625" customWidth="1"/>
    <col min="22" max="22" width="12" customWidth="1"/>
  </cols>
  <sheetData>
    <row r="1" spans="1:22" ht="21">
      <c r="A1" s="567" t="s">
        <v>234</v>
      </c>
      <c r="B1" s="568"/>
      <c r="C1" s="569"/>
      <c r="E1" s="572" t="s">
        <v>243</v>
      </c>
      <c r="F1" s="573"/>
      <c r="G1" s="573"/>
      <c r="H1" s="573"/>
      <c r="I1" s="573"/>
      <c r="J1" s="573"/>
      <c r="K1" s="573"/>
      <c r="L1" s="573"/>
      <c r="M1" s="573"/>
      <c r="N1" s="573"/>
      <c r="O1" s="573"/>
      <c r="P1" s="574"/>
      <c r="R1" s="570" t="s">
        <v>241</v>
      </c>
      <c r="S1" s="571"/>
      <c r="T1" s="571"/>
      <c r="U1" s="571"/>
      <c r="V1" s="571"/>
    </row>
    <row r="2" spans="1:22" ht="18" customHeight="1">
      <c r="A2" s="91" t="s">
        <v>195</v>
      </c>
      <c r="B2" s="91"/>
      <c r="C2" s="91"/>
      <c r="E2" s="121"/>
      <c r="F2" s="121"/>
      <c r="G2" s="121"/>
      <c r="H2" s="121"/>
      <c r="I2" s="121"/>
      <c r="J2" s="121"/>
      <c r="K2" s="121"/>
      <c r="L2" s="121"/>
      <c r="M2" s="121"/>
      <c r="N2" s="121"/>
      <c r="O2" s="121"/>
      <c r="R2" s="592" t="s">
        <v>980</v>
      </c>
      <c r="S2" s="592" t="s">
        <v>981</v>
      </c>
      <c r="T2" s="592" t="s">
        <v>982</v>
      </c>
      <c r="U2" s="592" t="s">
        <v>984</v>
      </c>
      <c r="V2" s="591" t="s">
        <v>525</v>
      </c>
    </row>
    <row r="3" spans="1:22">
      <c r="A3" s="589" t="s">
        <v>194</v>
      </c>
      <c r="B3" s="589"/>
      <c r="C3" s="92">
        <f>ツール!E10</f>
        <v>0</v>
      </c>
      <c r="D3" s="80"/>
      <c r="E3" s="593" t="s">
        <v>993</v>
      </c>
      <c r="F3" s="593"/>
      <c r="G3" s="593"/>
      <c r="H3" s="593"/>
      <c r="I3" s="593"/>
      <c r="J3" s="593"/>
      <c r="K3" s="593"/>
      <c r="L3" s="260"/>
      <c r="M3" s="260"/>
      <c r="N3" s="260"/>
      <c r="O3" s="260"/>
      <c r="P3" s="26"/>
      <c r="Q3" s="26"/>
      <c r="R3" s="592"/>
      <c r="S3" s="592"/>
      <c r="T3" s="592"/>
      <c r="U3" s="592"/>
      <c r="V3" s="591"/>
    </row>
    <row r="4" spans="1:22">
      <c r="B4" s="89"/>
      <c r="C4" s="73"/>
      <c r="E4" s="578" t="s">
        <v>510</v>
      </c>
      <c r="F4" s="579"/>
      <c r="G4" s="579"/>
      <c r="H4" s="252">
        <f>4200/1000</f>
        <v>4.2</v>
      </c>
      <c r="I4" s="252" t="s">
        <v>508</v>
      </c>
      <c r="J4" s="585" t="s">
        <v>509</v>
      </c>
      <c r="K4" s="585"/>
      <c r="L4" s="257"/>
      <c r="M4" s="257"/>
      <c r="N4" s="257"/>
      <c r="O4" s="257"/>
      <c r="R4" s="278">
        <f>IF(B9="針葉樹",IF(B8&lt;=20,IFERROR(INDEX(G75:G91,MATCH(C3,F75:F91,0),1),G92),IFERROR(INDEX(H75:H91,MATCH(C3,F75:F91,0),1),H92)),IF(B8&lt;=20,IFERROR(INDEX(G61:G73,MATCH(C3,F61:F73,0),1),G74),IFERROR(INDEX(H61:H73,MATCH(C3,F61:F73,0),1),H74)))</f>
        <v>1.4</v>
      </c>
      <c r="S4" s="278">
        <f>IF(B9="針葉樹",IFERROR(INDEX(I75:I91,MATCH(C3,F75:F91,0),1),I92),IFERROR(INDEX(I61:I73,MATCH(C3,F61:F73,0),1),I74))</f>
        <v>0.26</v>
      </c>
      <c r="T4" s="278">
        <f>IF(B9="針葉樹",IFERROR(INDEX(J75:J91,MATCH(C3,F75:F91,0),1),J92),IFERROR(INDEX(J61:J73,MATCH(C3,F61:F73,0),1),J74))</f>
        <v>0.624</v>
      </c>
      <c r="U4" s="278">
        <v>0.5</v>
      </c>
      <c r="V4" s="278" t="str">
        <f>IFERROR(IF(B9="針葉樹",INDEX('生育指数(針葉樹)'!M3:M7,MATCH(CO2固定!B10,'生育指数(針葉樹)'!K3:K7,0),1),INDEX('生育指数(広葉樹)'!F6:F8,MATCH(CO2固定!B10,'生育指数(広葉樹)'!E6:E8,0),1)),"")</f>
        <v/>
      </c>
    </row>
    <row r="5" spans="1:22">
      <c r="B5" s="89"/>
      <c r="C5" s="73"/>
      <c r="E5" s="579" t="s">
        <v>507</v>
      </c>
      <c r="F5" s="579"/>
      <c r="G5" s="579"/>
      <c r="H5" s="252">
        <f>289/1000</f>
        <v>0.28899999999999998</v>
      </c>
      <c r="I5" s="252" t="s">
        <v>508</v>
      </c>
      <c r="J5" s="587"/>
      <c r="K5" s="587"/>
      <c r="L5" s="257"/>
      <c r="M5" s="257"/>
      <c r="N5" s="257"/>
      <c r="O5" s="257"/>
      <c r="R5" s="269"/>
      <c r="S5" s="269"/>
      <c r="T5" s="269"/>
      <c r="U5" s="269"/>
      <c r="V5" s="89"/>
    </row>
    <row r="6" spans="1:22" ht="21">
      <c r="A6" s="73" t="s">
        <v>214</v>
      </c>
      <c r="C6" s="80"/>
      <c r="E6" s="172"/>
      <c r="F6" s="172"/>
      <c r="G6" s="244" t="s">
        <v>650</v>
      </c>
      <c r="H6" s="2">
        <v>7.6924999999999999</v>
      </c>
      <c r="I6" s="2" t="s">
        <v>39</v>
      </c>
      <c r="J6" s="586" t="s">
        <v>651</v>
      </c>
      <c r="K6" s="586"/>
      <c r="L6" s="258"/>
      <c r="M6" s="258"/>
      <c r="N6" s="258"/>
      <c r="O6" s="258"/>
      <c r="P6" s="120"/>
      <c r="Q6" s="120"/>
      <c r="R6" s="273" t="s">
        <v>21</v>
      </c>
      <c r="S6" s="273" t="s">
        <v>0</v>
      </c>
      <c r="T6" s="273" t="s">
        <v>1</v>
      </c>
      <c r="U6" s="274" t="s">
        <v>2</v>
      </c>
      <c r="V6" s="275"/>
    </row>
    <row r="7" spans="1:22" ht="21">
      <c r="A7" s="3" t="s">
        <v>161</v>
      </c>
      <c r="B7" s="247">
        <f>IFERROR(ツール!E15,"")</f>
        <v>0</v>
      </c>
      <c r="E7" s="93"/>
      <c r="F7" s="93"/>
      <c r="G7" s="93"/>
      <c r="H7" s="93"/>
      <c r="I7" s="93"/>
      <c r="J7" s="121"/>
      <c r="K7" s="121"/>
      <c r="L7" s="121"/>
      <c r="M7" s="121"/>
      <c r="N7" s="121"/>
      <c r="O7" s="121"/>
      <c r="P7" s="120"/>
      <c r="Q7" s="120"/>
      <c r="R7" s="276">
        <v>1.1200000000000001</v>
      </c>
      <c r="S7" s="276" t="e">
        <f>IF(B9="針葉樹",INDEX(M10:M56,MATCH(C3,K10:K56,0),1),INDEX((G10:G56),MATCH($C$3,$E$10:$E$56,0),1))</f>
        <v>#N/A</v>
      </c>
      <c r="T7" s="276" t="e">
        <f>IF(B9="針葉樹",INDEX(N10:N56,MATCH(C3,K10:K56,0),1),INDEX((H10:H56),MATCH($C$3,$E$10:$E$56,0),1))</f>
        <v>#N/A</v>
      </c>
      <c r="U7" s="277" t="e">
        <f>IF(B9="針葉樹",INDEX(O10:O56,MATCH(C3,K10:K56,0),1),INDEX((I10:I56),MATCH($C$3,$E$10:$E$56,0),1))</f>
        <v>#N/A</v>
      </c>
      <c r="V7" s="275"/>
    </row>
    <row r="8" spans="1:22" s="141" customFormat="1" ht="56.25" customHeight="1">
      <c r="A8" s="284" t="s">
        <v>163</v>
      </c>
      <c r="B8" s="247">
        <f>IFERROR(ツール!E17,"")</f>
        <v>0</v>
      </c>
      <c r="E8" s="577" t="s">
        <v>995</v>
      </c>
      <c r="F8" s="577"/>
      <c r="G8" s="577"/>
      <c r="H8" s="577"/>
      <c r="I8" s="577"/>
      <c r="J8" s="25"/>
      <c r="K8" s="577" t="s">
        <v>994</v>
      </c>
      <c r="L8" s="577"/>
      <c r="M8" s="577"/>
      <c r="N8" s="577"/>
      <c r="O8" s="577"/>
      <c r="P8" s="25"/>
      <c r="Q8" s="25"/>
      <c r="R8" s="279" t="s">
        <v>1029</v>
      </c>
      <c r="S8" s="89"/>
      <c r="T8" s="140"/>
      <c r="U8" s="89"/>
      <c r="V8" s="89"/>
    </row>
    <row r="9" spans="1:22" ht="16.8">
      <c r="A9" s="3" t="s">
        <v>193</v>
      </c>
      <c r="B9" s="247">
        <f>IFERROR(ツール!E18,"")</f>
        <v>0</v>
      </c>
      <c r="D9" s="141"/>
      <c r="E9" s="90" t="s">
        <v>431</v>
      </c>
      <c r="F9" s="139" t="s">
        <v>745</v>
      </c>
      <c r="G9" s="243" t="s">
        <v>0</v>
      </c>
      <c r="H9" s="243" t="s">
        <v>1</v>
      </c>
      <c r="I9" s="243" t="s">
        <v>2</v>
      </c>
      <c r="J9" s="141"/>
      <c r="K9" s="90" t="s">
        <v>194</v>
      </c>
      <c r="L9" s="139" t="s">
        <v>745</v>
      </c>
      <c r="M9" s="243" t="s">
        <v>0</v>
      </c>
      <c r="N9" s="243" t="s">
        <v>1</v>
      </c>
      <c r="O9" s="243" t="s">
        <v>2</v>
      </c>
      <c r="P9" s="120"/>
      <c r="Q9" s="120"/>
    </row>
    <row r="10" spans="1:22">
      <c r="A10" s="3" t="s">
        <v>219</v>
      </c>
      <c r="B10" s="247">
        <f>IFERROR(ツール!E19,"")</f>
        <v>0</v>
      </c>
      <c r="E10" s="119" t="s">
        <v>147</v>
      </c>
      <c r="F10" s="118">
        <v>1.1200000000000001</v>
      </c>
      <c r="G10" s="122">
        <v>214.6</v>
      </c>
      <c r="H10" s="122">
        <v>6.0999999999999999E-2</v>
      </c>
      <c r="I10" s="122">
        <v>0.73699999999999999</v>
      </c>
      <c r="K10" s="261" t="s">
        <v>147</v>
      </c>
      <c r="L10" s="243">
        <v>1.1200000000000001</v>
      </c>
      <c r="M10" s="261">
        <v>611.29999999999995</v>
      </c>
      <c r="N10" s="261">
        <v>5.1999999999999998E-2</v>
      </c>
      <c r="O10" s="261">
        <v>0.61699999999999999</v>
      </c>
      <c r="P10" s="120"/>
      <c r="Q10" s="120"/>
    </row>
    <row r="11" spans="1:22">
      <c r="E11" s="119" t="s">
        <v>149</v>
      </c>
      <c r="F11" s="191">
        <v>1.1200000000000001</v>
      </c>
      <c r="G11" s="122">
        <v>154.69999999999999</v>
      </c>
      <c r="H11" s="122">
        <v>5.6000000000000001E-2</v>
      </c>
      <c r="I11" s="122">
        <v>0.56699999999999995</v>
      </c>
      <c r="K11" s="262" t="s">
        <v>149</v>
      </c>
      <c r="L11" s="243">
        <v>1.1200000000000001</v>
      </c>
      <c r="M11" s="262">
        <v>775.7</v>
      </c>
      <c r="N11" s="263">
        <v>0.03</v>
      </c>
      <c r="O11" s="262">
        <v>0.42299999999999999</v>
      </c>
      <c r="P11" s="120"/>
      <c r="Q11" s="120"/>
    </row>
    <row r="12" spans="1:22">
      <c r="E12" s="119" t="s">
        <v>148</v>
      </c>
      <c r="F12" s="191">
        <v>1.1200000000000001</v>
      </c>
      <c r="G12" s="122">
        <v>194.9</v>
      </c>
      <c r="H12" s="122">
        <v>7.5999999999999998E-2</v>
      </c>
      <c r="I12" s="122">
        <v>0.64100000000000001</v>
      </c>
      <c r="K12" s="262" t="s">
        <v>148</v>
      </c>
      <c r="L12" s="243">
        <v>1.1200000000000001</v>
      </c>
      <c r="M12" s="262">
        <v>825.5</v>
      </c>
      <c r="N12" s="262">
        <v>3.1E-2</v>
      </c>
      <c r="O12" s="262">
        <v>0.64200000000000002</v>
      </c>
      <c r="P12" s="120"/>
      <c r="Q12" s="120"/>
      <c r="R12" s="270"/>
      <c r="S12" s="270"/>
      <c r="T12" s="270"/>
      <c r="U12" s="271"/>
      <c r="V12" s="272"/>
    </row>
    <row r="13" spans="1:22">
      <c r="E13" s="119" t="s">
        <v>151</v>
      </c>
      <c r="F13" s="191">
        <v>1.1200000000000001</v>
      </c>
      <c r="G13" s="122">
        <v>168.3</v>
      </c>
      <c r="H13" s="122">
        <v>7.0999999999999994E-2</v>
      </c>
      <c r="I13" s="122">
        <v>0.72899999999999998</v>
      </c>
      <c r="K13" s="262" t="s">
        <v>151</v>
      </c>
      <c r="L13" s="243">
        <v>1.1200000000000001</v>
      </c>
      <c r="M13" s="262">
        <v>579.5</v>
      </c>
      <c r="N13" s="262">
        <v>7.9000000000000001E-2</v>
      </c>
      <c r="O13" s="263">
        <v>0.81</v>
      </c>
      <c r="P13" s="120"/>
      <c r="Q13" s="120"/>
      <c r="R13" s="588" t="s">
        <v>237</v>
      </c>
      <c r="S13" s="588"/>
      <c r="T13" s="588"/>
      <c r="U13" s="588"/>
      <c r="V13" s="588"/>
    </row>
    <row r="14" spans="1:22" ht="28.8">
      <c r="E14" s="119" t="s">
        <v>986</v>
      </c>
      <c r="F14" s="191">
        <v>1.1200000000000001</v>
      </c>
      <c r="G14" s="122">
        <v>184.1</v>
      </c>
      <c r="H14" s="122">
        <v>5.6000000000000001E-2</v>
      </c>
      <c r="I14" s="122">
        <v>0.42399999999999999</v>
      </c>
      <c r="K14" s="262" t="s">
        <v>150</v>
      </c>
      <c r="L14" s="243">
        <v>1.1200000000000001</v>
      </c>
      <c r="M14" s="262">
        <v>557.1</v>
      </c>
      <c r="N14" s="262">
        <v>6.2E-2</v>
      </c>
      <c r="O14" s="262">
        <v>0.80600000000000005</v>
      </c>
      <c r="P14" s="120"/>
      <c r="Q14" s="120"/>
      <c r="R14" s="151" t="s">
        <v>235</v>
      </c>
      <c r="S14" s="151" t="s">
        <v>809</v>
      </c>
      <c r="T14" s="151" t="s">
        <v>810</v>
      </c>
      <c r="U14" s="151" t="s">
        <v>808</v>
      </c>
      <c r="V14" s="152" t="s">
        <v>242</v>
      </c>
    </row>
    <row r="15" spans="1:22">
      <c r="E15" s="119" t="s">
        <v>152</v>
      </c>
      <c r="F15" s="191">
        <v>1.1200000000000001</v>
      </c>
      <c r="G15" s="122">
        <v>311.10000000000002</v>
      </c>
      <c r="H15" s="122">
        <v>3.5999999999999997E-2</v>
      </c>
      <c r="I15" s="122">
        <v>0.54200000000000004</v>
      </c>
      <c r="K15" s="262" t="s">
        <v>152</v>
      </c>
      <c r="L15" s="243">
        <v>1.1200000000000001</v>
      </c>
      <c r="M15" s="262">
        <v>596.5</v>
      </c>
      <c r="N15" s="262">
        <v>6.0999999999999999E-2</v>
      </c>
      <c r="O15" s="263">
        <v>0.76</v>
      </c>
      <c r="P15" s="120"/>
      <c r="Q15" s="120"/>
      <c r="R15" s="153" t="e">
        <f>IF(B8&lt;=1,R19,R19-($S$7*(1-$R$7*EXP(-$T$7*(B8+3-1)))^(1/1-$U$7))*V4)</f>
        <v>#N/A</v>
      </c>
      <c r="S15" s="153" t="e">
        <f>R15*$R$4*(1+$S$4)*$T$4*$U$4</f>
        <v>#N/A</v>
      </c>
      <c r="T15" s="153" t="e">
        <f>S15*44/12/10000*1000</f>
        <v>#N/A</v>
      </c>
      <c r="U15" s="154" t="e">
        <f>T15*B7</f>
        <v>#N/A</v>
      </c>
      <c r="V15" s="155" t="e">
        <f>T15*B7*$H$6</f>
        <v>#N/A</v>
      </c>
    </row>
    <row r="16" spans="1:22">
      <c r="E16" s="119" t="s">
        <v>153</v>
      </c>
      <c r="F16" s="191">
        <v>1.1200000000000001</v>
      </c>
      <c r="G16" s="122">
        <v>158.1</v>
      </c>
      <c r="H16" s="122">
        <v>0.129</v>
      </c>
      <c r="I16" s="122">
        <v>0.90900000000000003</v>
      </c>
      <c r="K16" s="264" t="s">
        <v>153</v>
      </c>
      <c r="L16" s="243">
        <v>1.1200000000000001</v>
      </c>
      <c r="M16" s="264">
        <v>556.20000000000005</v>
      </c>
      <c r="N16" s="264">
        <v>5.2999999999999999E-2</v>
      </c>
      <c r="O16" s="264">
        <v>0.65700000000000003</v>
      </c>
      <c r="P16" s="120"/>
      <c r="Q16" s="120"/>
    </row>
    <row r="17" spans="5:22">
      <c r="E17" s="119" t="s">
        <v>142</v>
      </c>
      <c r="F17" s="191">
        <v>1.1200000000000001</v>
      </c>
      <c r="G17" s="122">
        <v>144.5</v>
      </c>
      <c r="H17" s="122">
        <v>5.7000000000000002E-2</v>
      </c>
      <c r="I17" s="122">
        <v>0.51100000000000001</v>
      </c>
      <c r="K17" s="261" t="s">
        <v>142</v>
      </c>
      <c r="L17" s="243">
        <v>1.1200000000000001</v>
      </c>
      <c r="M17" s="265">
        <v>450</v>
      </c>
      <c r="N17" s="261">
        <v>6.4000000000000001E-2</v>
      </c>
      <c r="O17" s="261">
        <v>0.70099999999999996</v>
      </c>
      <c r="P17" s="120"/>
      <c r="Q17" s="120"/>
      <c r="R17" s="590" t="s">
        <v>236</v>
      </c>
      <c r="S17" s="590"/>
      <c r="T17" s="590"/>
      <c r="U17" s="590"/>
      <c r="V17" s="590"/>
    </row>
    <row r="18" spans="5:22" ht="28.8">
      <c r="E18" s="119" t="s">
        <v>141</v>
      </c>
      <c r="F18" s="191">
        <v>1.1200000000000001</v>
      </c>
      <c r="G18" s="122">
        <v>148.5</v>
      </c>
      <c r="H18" s="122">
        <v>3.4000000000000002E-2</v>
      </c>
      <c r="I18" s="122">
        <v>0.61699999999999999</v>
      </c>
      <c r="K18" s="262" t="s">
        <v>141</v>
      </c>
      <c r="L18" s="243">
        <v>1.1200000000000001</v>
      </c>
      <c r="M18" s="266">
        <v>344.7</v>
      </c>
      <c r="N18" s="262">
        <v>6.0999999999999999E-2</v>
      </c>
      <c r="O18" s="262">
        <v>0.71899999999999997</v>
      </c>
      <c r="P18" s="120"/>
      <c r="Q18" s="120"/>
      <c r="R18" s="146" t="s">
        <v>235</v>
      </c>
      <c r="S18" s="146" t="s">
        <v>807</v>
      </c>
      <c r="T18" s="146" t="s">
        <v>806</v>
      </c>
      <c r="U18" s="146" t="s">
        <v>808</v>
      </c>
      <c r="V18" s="147" t="s">
        <v>242</v>
      </c>
    </row>
    <row r="19" spans="5:22">
      <c r="E19" s="119" t="s">
        <v>139</v>
      </c>
      <c r="F19" s="191">
        <v>1.1200000000000001</v>
      </c>
      <c r="G19" s="122">
        <v>215.9</v>
      </c>
      <c r="H19" s="122">
        <v>2.8000000000000001E-2</v>
      </c>
      <c r="I19" s="122">
        <v>0.44900000000000001</v>
      </c>
      <c r="K19" s="262" t="s">
        <v>139</v>
      </c>
      <c r="L19" s="243">
        <v>1.1200000000000001</v>
      </c>
      <c r="M19" s="266">
        <v>644</v>
      </c>
      <c r="N19" s="262">
        <v>3.4000000000000002E-2</v>
      </c>
      <c r="O19" s="262">
        <v>0.52500000000000002</v>
      </c>
      <c r="P19" s="120"/>
      <c r="Q19" s="120"/>
      <c r="R19" s="148" t="e">
        <f>$S$7*(1-$R$7*EXP(-$T$7*(B8+3)))^(1/1-$U$7)*V4</f>
        <v>#N/A</v>
      </c>
      <c r="S19" s="148" t="e">
        <f>R19*$R$4*(1+$S$4)*$T$4*$U$4</f>
        <v>#N/A</v>
      </c>
      <c r="T19" s="148" t="e">
        <f>S19*44/12/10000*1000</f>
        <v>#N/A</v>
      </c>
      <c r="U19" s="149" t="e">
        <f>T19*B7</f>
        <v>#N/A</v>
      </c>
      <c r="V19" s="150" t="e">
        <f>U19*H6</f>
        <v>#N/A</v>
      </c>
    </row>
    <row r="20" spans="5:22">
      <c r="E20" s="119" t="s">
        <v>138</v>
      </c>
      <c r="F20" s="191">
        <v>1.1200000000000001</v>
      </c>
      <c r="G20" s="122">
        <v>111.9</v>
      </c>
      <c r="H20" s="122">
        <v>7.4999999999999997E-2</v>
      </c>
      <c r="I20" s="122">
        <v>0.66800000000000004</v>
      </c>
      <c r="K20" s="262" t="s">
        <v>138</v>
      </c>
      <c r="L20" s="243">
        <v>1.1200000000000001</v>
      </c>
      <c r="M20" s="262">
        <v>491.4</v>
      </c>
      <c r="N20" s="262">
        <v>6.7000000000000004E-2</v>
      </c>
      <c r="O20" s="262">
        <v>0.75700000000000001</v>
      </c>
      <c r="P20" s="120"/>
      <c r="Q20" s="120"/>
    </row>
    <row r="21" spans="5:22" ht="18" customHeight="1">
      <c r="E21" s="119" t="s">
        <v>140</v>
      </c>
      <c r="F21" s="191">
        <v>1.1200000000000001</v>
      </c>
      <c r="G21" s="122">
        <v>89.2</v>
      </c>
      <c r="H21" s="122">
        <v>8.5999999999999993E-2</v>
      </c>
      <c r="I21" s="122">
        <v>0.56399999999999995</v>
      </c>
      <c r="K21" s="264" t="s">
        <v>140</v>
      </c>
      <c r="L21" s="243">
        <v>1.1200000000000001</v>
      </c>
      <c r="M21" s="264">
        <v>508.7</v>
      </c>
      <c r="N21" s="264">
        <v>5.8000000000000003E-2</v>
      </c>
      <c r="O21" s="264">
        <v>0.69499999999999995</v>
      </c>
      <c r="P21" s="120"/>
      <c r="Q21" s="120"/>
    </row>
    <row r="22" spans="5:22" ht="18" customHeight="1">
      <c r="E22" s="119" t="s">
        <v>145</v>
      </c>
      <c r="F22" s="191">
        <v>1.1200000000000001</v>
      </c>
      <c r="G22" s="122">
        <v>123</v>
      </c>
      <c r="H22" s="122">
        <v>5.0999999999999997E-2</v>
      </c>
      <c r="I22" s="122">
        <v>0.58699999999999997</v>
      </c>
      <c r="K22" s="261" t="s">
        <v>145</v>
      </c>
      <c r="L22" s="243">
        <v>1.1200000000000001</v>
      </c>
      <c r="M22" s="261">
        <v>534.9</v>
      </c>
      <c r="N22" s="267">
        <v>0.04</v>
      </c>
      <c r="O22" s="261">
        <v>0.60599999999999998</v>
      </c>
      <c r="P22" s="120"/>
      <c r="Q22" s="120"/>
    </row>
    <row r="23" spans="5:22">
      <c r="E23" s="119" t="s">
        <v>146</v>
      </c>
      <c r="F23" s="191">
        <v>1.1200000000000001</v>
      </c>
      <c r="G23" s="122">
        <v>139.1</v>
      </c>
      <c r="H23" s="122">
        <v>8.3000000000000004E-2</v>
      </c>
      <c r="I23" s="122">
        <v>0.69399999999999995</v>
      </c>
      <c r="K23" s="262" t="s">
        <v>146</v>
      </c>
      <c r="L23" s="243">
        <v>1.1200000000000001</v>
      </c>
      <c r="M23" s="262">
        <v>548.1</v>
      </c>
      <c r="N23" s="262">
        <v>5.6000000000000001E-2</v>
      </c>
      <c r="O23" s="262">
        <v>0.75800000000000001</v>
      </c>
      <c r="P23" s="120"/>
      <c r="Q23" s="120"/>
    </row>
    <row r="24" spans="5:22">
      <c r="E24" s="119" t="s">
        <v>143</v>
      </c>
      <c r="F24" s="191">
        <v>1.1200000000000001</v>
      </c>
      <c r="G24" s="122">
        <v>246.8</v>
      </c>
      <c r="H24" s="122">
        <v>1.7999999999999999E-2</v>
      </c>
      <c r="I24" s="122">
        <v>0.26300000000000001</v>
      </c>
      <c r="K24" s="262" t="s">
        <v>143</v>
      </c>
      <c r="L24" s="243">
        <v>1.1200000000000001</v>
      </c>
      <c r="M24" s="262">
        <v>654.70000000000005</v>
      </c>
      <c r="N24" s="262">
        <v>2.1999999999999999E-2</v>
      </c>
      <c r="O24" s="262">
        <v>0.378</v>
      </c>
      <c r="P24" s="120"/>
      <c r="Q24" s="120"/>
    </row>
    <row r="25" spans="5:22">
      <c r="E25" s="119" t="s">
        <v>144</v>
      </c>
      <c r="F25" s="191">
        <v>1.1200000000000001</v>
      </c>
      <c r="G25" s="122">
        <v>79.599999999999994</v>
      </c>
      <c r="H25" s="122">
        <v>7.5999999999999998E-2</v>
      </c>
      <c r="I25" s="122">
        <v>0.54500000000000004</v>
      </c>
      <c r="K25" s="264" t="s">
        <v>144</v>
      </c>
      <c r="L25" s="243">
        <v>1.1200000000000001</v>
      </c>
      <c r="M25" s="264">
        <v>454.3</v>
      </c>
      <c r="N25" s="264">
        <v>4.4999999999999998E-2</v>
      </c>
      <c r="O25" s="264">
        <v>0.61899999999999999</v>
      </c>
      <c r="P25" s="120"/>
      <c r="Q25" s="120"/>
    </row>
    <row r="26" spans="5:22">
      <c r="E26" s="119" t="s">
        <v>137</v>
      </c>
      <c r="F26" s="191">
        <v>1.1200000000000001</v>
      </c>
      <c r="G26" s="122">
        <v>166.6</v>
      </c>
      <c r="H26" s="122">
        <v>7.6999999999999999E-2</v>
      </c>
      <c r="I26" s="122">
        <v>0.69499999999999995</v>
      </c>
      <c r="K26" s="261" t="s">
        <v>137</v>
      </c>
      <c r="L26" s="243">
        <v>1.1200000000000001</v>
      </c>
      <c r="M26" s="261">
        <v>489.9</v>
      </c>
      <c r="N26" s="261">
        <v>7.9000000000000001E-2</v>
      </c>
      <c r="O26" s="261">
        <v>0.77200000000000002</v>
      </c>
      <c r="P26" s="120"/>
      <c r="Q26" s="120"/>
    </row>
    <row r="27" spans="5:22">
      <c r="E27" s="119" t="s">
        <v>136</v>
      </c>
      <c r="F27" s="191">
        <v>1.1200000000000001</v>
      </c>
      <c r="G27" s="122">
        <v>188.3</v>
      </c>
      <c r="H27" s="122">
        <v>4.1000000000000002E-2</v>
      </c>
      <c r="I27" s="122">
        <v>0.55100000000000005</v>
      </c>
      <c r="K27" s="262" t="s">
        <v>136</v>
      </c>
      <c r="L27" s="243">
        <v>1.1200000000000001</v>
      </c>
      <c r="M27" s="266">
        <v>505</v>
      </c>
      <c r="N27" s="262">
        <v>4.5999999999999999E-2</v>
      </c>
      <c r="O27" s="262">
        <v>0.61399999999999999</v>
      </c>
      <c r="P27" s="120"/>
      <c r="Q27" s="120"/>
    </row>
    <row r="28" spans="5:22">
      <c r="E28" s="119" t="s">
        <v>433</v>
      </c>
      <c r="F28" s="191">
        <v>1.1200000000000001</v>
      </c>
      <c r="G28" s="122">
        <v>80.8</v>
      </c>
      <c r="H28" s="122">
        <v>8.7999999999999995E-2</v>
      </c>
      <c r="I28" s="122">
        <v>0.57599999999999996</v>
      </c>
      <c r="K28" s="262" t="s">
        <v>135</v>
      </c>
      <c r="L28" s="243">
        <v>1.1200000000000001</v>
      </c>
      <c r="M28" s="262">
        <v>692.9</v>
      </c>
      <c r="N28" s="262">
        <v>5.3999999999999999E-2</v>
      </c>
      <c r="O28" s="262">
        <v>0.72399999999999998</v>
      </c>
      <c r="P28" s="120"/>
      <c r="Q28" s="120"/>
    </row>
    <row r="29" spans="5:22">
      <c r="E29" s="119" t="s">
        <v>434</v>
      </c>
      <c r="F29" s="191">
        <v>1.1200000000000001</v>
      </c>
      <c r="G29" s="122">
        <v>219.6</v>
      </c>
      <c r="H29" s="122">
        <v>2.8000000000000001E-2</v>
      </c>
      <c r="I29" s="122">
        <v>0.5</v>
      </c>
      <c r="K29" s="262" t="s">
        <v>988</v>
      </c>
      <c r="L29" s="243">
        <v>1.1200000000000001</v>
      </c>
      <c r="M29" s="262">
        <v>615.1</v>
      </c>
      <c r="N29" s="262">
        <v>1.9E-2</v>
      </c>
      <c r="O29" s="262">
        <v>0.40300000000000002</v>
      </c>
      <c r="P29" s="120"/>
      <c r="Q29" s="120"/>
    </row>
    <row r="30" spans="5:22">
      <c r="E30" s="119" t="s">
        <v>132</v>
      </c>
      <c r="F30" s="191">
        <v>1.1200000000000001</v>
      </c>
      <c r="G30" s="122">
        <v>143</v>
      </c>
      <c r="H30" s="122">
        <v>3.6999999999999998E-2</v>
      </c>
      <c r="I30" s="122">
        <v>0.65</v>
      </c>
      <c r="K30" s="262" t="s">
        <v>989</v>
      </c>
      <c r="L30" s="243">
        <v>1.1200000000000001</v>
      </c>
      <c r="M30" s="262">
        <v>414.9</v>
      </c>
      <c r="N30" s="262">
        <v>5.1999999999999998E-2</v>
      </c>
      <c r="O30" s="262">
        <v>0.63500000000000001</v>
      </c>
      <c r="P30" s="120"/>
      <c r="Q30" s="120"/>
    </row>
    <row r="31" spans="5:22">
      <c r="E31" s="119" t="s">
        <v>123</v>
      </c>
      <c r="F31" s="191">
        <v>1.1200000000000001</v>
      </c>
      <c r="G31" s="122">
        <v>209.7</v>
      </c>
      <c r="H31" s="122">
        <v>3.1E-2</v>
      </c>
      <c r="I31" s="122">
        <v>0.43099999999999999</v>
      </c>
      <c r="K31" s="264" t="s">
        <v>132</v>
      </c>
      <c r="L31" s="243">
        <v>1.1200000000000001</v>
      </c>
      <c r="M31" s="264">
        <v>429.3</v>
      </c>
      <c r="N31" s="264">
        <v>3.1E-2</v>
      </c>
      <c r="O31" s="264">
        <v>0.378</v>
      </c>
      <c r="P31" s="120"/>
      <c r="Q31" s="120"/>
    </row>
    <row r="32" spans="5:22">
      <c r="E32" s="119" t="s">
        <v>124</v>
      </c>
      <c r="F32" s="191">
        <v>1.1200000000000001</v>
      </c>
      <c r="G32" s="122">
        <v>217.9</v>
      </c>
      <c r="H32" s="122">
        <v>2.5999999999999999E-2</v>
      </c>
      <c r="I32" s="122">
        <v>0.29499999999999998</v>
      </c>
      <c r="K32" s="261" t="s">
        <v>123</v>
      </c>
      <c r="L32" s="243">
        <v>1.1200000000000001</v>
      </c>
      <c r="M32" s="265">
        <v>770</v>
      </c>
      <c r="N32" s="261">
        <v>5.0999999999999997E-2</v>
      </c>
      <c r="O32" s="267">
        <v>0.71</v>
      </c>
      <c r="P32" s="120"/>
      <c r="Q32" s="120"/>
    </row>
    <row r="33" spans="5:17">
      <c r="E33" s="119" t="s">
        <v>125</v>
      </c>
      <c r="F33" s="191">
        <v>1.1200000000000001</v>
      </c>
      <c r="G33" s="122">
        <v>146.9</v>
      </c>
      <c r="H33" s="122">
        <v>3.5000000000000003E-2</v>
      </c>
      <c r="I33" s="122">
        <v>0.622</v>
      </c>
      <c r="K33" s="262" t="s">
        <v>124</v>
      </c>
      <c r="L33" s="243">
        <v>1.1200000000000001</v>
      </c>
      <c r="M33" s="266">
        <v>989.1</v>
      </c>
      <c r="N33" s="262">
        <v>2.7E-2</v>
      </c>
      <c r="O33" s="262">
        <v>0.58599999999999997</v>
      </c>
      <c r="P33" s="120"/>
      <c r="Q33" s="120"/>
    </row>
    <row r="34" spans="5:17">
      <c r="E34" s="119" t="s">
        <v>127</v>
      </c>
      <c r="F34" s="191">
        <v>1.1200000000000001</v>
      </c>
      <c r="G34" s="122">
        <v>190.8</v>
      </c>
      <c r="H34" s="122">
        <v>2.1000000000000001E-2</v>
      </c>
      <c r="I34" s="122">
        <v>0.35099999999999998</v>
      </c>
      <c r="K34" s="264" t="s">
        <v>125</v>
      </c>
      <c r="L34" s="243">
        <v>1.1200000000000001</v>
      </c>
      <c r="M34" s="268">
        <v>499.6</v>
      </c>
      <c r="N34" s="264">
        <v>5.2999999999999999E-2</v>
      </c>
      <c r="O34" s="264">
        <v>0.74199999999999999</v>
      </c>
      <c r="P34" s="120"/>
      <c r="Q34" s="120"/>
    </row>
    <row r="35" spans="5:17">
      <c r="E35" s="119" t="s">
        <v>128</v>
      </c>
      <c r="F35" s="191">
        <v>1.1200000000000001</v>
      </c>
      <c r="G35" s="122">
        <v>220</v>
      </c>
      <c r="H35" s="122">
        <v>1.7999999999999999E-2</v>
      </c>
      <c r="I35" s="122">
        <v>8.5999999999999993E-2</v>
      </c>
      <c r="K35" s="261" t="s">
        <v>127</v>
      </c>
      <c r="L35" s="243">
        <v>1.1200000000000001</v>
      </c>
      <c r="M35" s="265">
        <v>601.70000000000005</v>
      </c>
      <c r="N35" s="261">
        <v>2.4E-2</v>
      </c>
      <c r="O35" s="261">
        <v>0.28499999999999998</v>
      </c>
      <c r="P35" s="120"/>
      <c r="Q35" s="120"/>
    </row>
    <row r="36" spans="5:17">
      <c r="E36" s="119" t="s">
        <v>130</v>
      </c>
      <c r="F36" s="191">
        <v>1.1200000000000001</v>
      </c>
      <c r="G36" s="122">
        <v>195.8</v>
      </c>
      <c r="H36" s="122">
        <v>2.9000000000000001E-2</v>
      </c>
      <c r="I36" s="122">
        <v>0.37</v>
      </c>
      <c r="K36" s="262" t="s">
        <v>128</v>
      </c>
      <c r="L36" s="243">
        <v>1.1200000000000001</v>
      </c>
      <c r="M36" s="262">
        <v>851.8</v>
      </c>
      <c r="N36" s="262">
        <v>2.5999999999999999E-2</v>
      </c>
      <c r="O36" s="262">
        <v>0.28399999999999997</v>
      </c>
      <c r="P36" s="120"/>
      <c r="Q36" s="120"/>
    </row>
    <row r="37" spans="5:17" ht="14.25" customHeight="1">
      <c r="E37" s="254" t="s">
        <v>154</v>
      </c>
      <c r="F37" s="253">
        <v>1.1200000000000001</v>
      </c>
      <c r="G37" s="255">
        <v>172.2923076923077</v>
      </c>
      <c r="H37" s="255">
        <v>5.2615384615384612E-2</v>
      </c>
      <c r="I37" s="255">
        <v>0.54423076923076907</v>
      </c>
      <c r="J37" s="576" t="s">
        <v>1265</v>
      </c>
      <c r="K37" s="264" t="s">
        <v>990</v>
      </c>
      <c r="L37" s="243">
        <v>1.1200000000000001</v>
      </c>
      <c r="M37" s="264">
        <v>509.3</v>
      </c>
      <c r="N37" s="264">
        <v>3.7999999999999999E-2</v>
      </c>
      <c r="O37" s="264">
        <v>0.66400000000000003</v>
      </c>
      <c r="Q37" s="120"/>
    </row>
    <row r="38" spans="5:17">
      <c r="E38" s="254" t="s">
        <v>135</v>
      </c>
      <c r="F38" s="253">
        <v>1.1200000000000001</v>
      </c>
      <c r="G38" s="255">
        <v>172.2923076923077</v>
      </c>
      <c r="H38" s="255">
        <v>5.2615384615384612E-2</v>
      </c>
      <c r="I38" s="255">
        <v>0.54423076923076907</v>
      </c>
      <c r="J38" s="576"/>
      <c r="K38" s="254" t="s">
        <v>154</v>
      </c>
      <c r="L38" s="243">
        <v>1.1200000000000001</v>
      </c>
      <c r="M38" s="280">
        <f>AVERAGE(M$10:M$37)</f>
        <v>589.32857142857131</v>
      </c>
      <c r="N38" s="280">
        <f t="shared" ref="N38:O38" si="0">AVERAGE(N$10:N$37)</f>
        <v>4.6964285714285722E-2</v>
      </c>
      <c r="O38" s="280">
        <f t="shared" si="0"/>
        <v>0.61678571428571427</v>
      </c>
      <c r="P38" s="584" t="s">
        <v>985</v>
      </c>
      <c r="Q38" s="120"/>
    </row>
    <row r="39" spans="5:17">
      <c r="E39" s="254" t="s">
        <v>131</v>
      </c>
      <c r="F39" s="253">
        <v>1.1200000000000001</v>
      </c>
      <c r="G39" s="255">
        <v>172.2923076923077</v>
      </c>
      <c r="H39" s="255">
        <v>5.2615384615384612E-2</v>
      </c>
      <c r="I39" s="255">
        <v>0.54423076923076907</v>
      </c>
      <c r="J39" s="576"/>
      <c r="K39" s="254" t="s">
        <v>131</v>
      </c>
      <c r="L39" s="243">
        <v>1.1200000000000001</v>
      </c>
      <c r="M39" s="280">
        <f t="shared" ref="M39:O56" si="1">AVERAGE(M$10:M$37)</f>
        <v>589.32857142857131</v>
      </c>
      <c r="N39" s="280">
        <f t="shared" si="1"/>
        <v>4.6964285714285722E-2</v>
      </c>
      <c r="O39" s="280">
        <f t="shared" si="1"/>
        <v>0.61678571428571427</v>
      </c>
      <c r="P39" s="584"/>
      <c r="Q39" s="120"/>
    </row>
    <row r="40" spans="5:17">
      <c r="E40" s="254" t="s">
        <v>129</v>
      </c>
      <c r="F40" s="253">
        <v>1.1200000000000001</v>
      </c>
      <c r="G40" s="255">
        <v>172.2923076923077</v>
      </c>
      <c r="H40" s="255">
        <v>5.2615384615384612E-2</v>
      </c>
      <c r="I40" s="255">
        <v>0.54423076923076907</v>
      </c>
      <c r="J40" s="576"/>
      <c r="K40" s="254" t="s">
        <v>129</v>
      </c>
      <c r="L40" s="243">
        <v>1.1200000000000001</v>
      </c>
      <c r="M40" s="280">
        <f t="shared" si="1"/>
        <v>589.32857142857131</v>
      </c>
      <c r="N40" s="280">
        <f t="shared" si="1"/>
        <v>4.6964285714285722E-2</v>
      </c>
      <c r="O40" s="280">
        <f t="shared" si="1"/>
        <v>0.61678571428571427</v>
      </c>
      <c r="P40" s="584"/>
      <c r="Q40" s="120"/>
    </row>
    <row r="41" spans="5:17">
      <c r="E41" s="254" t="s">
        <v>126</v>
      </c>
      <c r="F41" s="253">
        <v>1.1200000000000001</v>
      </c>
      <c r="G41" s="255">
        <v>172.2923076923077</v>
      </c>
      <c r="H41" s="255">
        <v>5.2615384615384612E-2</v>
      </c>
      <c r="I41" s="255">
        <v>0.54423076923076907</v>
      </c>
      <c r="J41" s="576"/>
      <c r="K41" s="254" t="s">
        <v>126</v>
      </c>
      <c r="L41" s="243">
        <v>1.1200000000000001</v>
      </c>
      <c r="M41" s="280">
        <f t="shared" si="1"/>
        <v>589.32857142857131</v>
      </c>
      <c r="N41" s="280">
        <f t="shared" si="1"/>
        <v>4.6964285714285722E-2</v>
      </c>
      <c r="O41" s="280">
        <f t="shared" si="1"/>
        <v>0.61678571428571427</v>
      </c>
      <c r="P41" s="584"/>
      <c r="Q41" s="120"/>
    </row>
    <row r="42" spans="5:17">
      <c r="E42" s="254" t="s">
        <v>122</v>
      </c>
      <c r="F42" s="253">
        <v>1.1200000000000001</v>
      </c>
      <c r="G42" s="255">
        <v>172.2923076923077</v>
      </c>
      <c r="H42" s="255">
        <v>5.2615384615384612E-2</v>
      </c>
      <c r="I42" s="255">
        <v>0.54423076923076907</v>
      </c>
      <c r="J42" s="576"/>
      <c r="K42" s="254" t="s">
        <v>122</v>
      </c>
      <c r="L42" s="243">
        <v>1.1200000000000001</v>
      </c>
      <c r="M42" s="280">
        <f t="shared" si="1"/>
        <v>589.32857142857131</v>
      </c>
      <c r="N42" s="280">
        <f t="shared" si="1"/>
        <v>4.6964285714285722E-2</v>
      </c>
      <c r="O42" s="280">
        <f t="shared" si="1"/>
        <v>0.61678571428571427</v>
      </c>
      <c r="P42" s="584"/>
      <c r="Q42" s="120"/>
    </row>
    <row r="43" spans="5:17">
      <c r="E43" s="254" t="s">
        <v>435</v>
      </c>
      <c r="F43" s="253">
        <v>1.1200000000000001</v>
      </c>
      <c r="G43" s="255">
        <v>172.2923076923077</v>
      </c>
      <c r="H43" s="255">
        <v>5.2615384615384612E-2</v>
      </c>
      <c r="I43" s="255">
        <v>0.54423076923076907</v>
      </c>
      <c r="J43" s="576"/>
      <c r="K43" s="254" t="s">
        <v>435</v>
      </c>
      <c r="L43" s="243">
        <v>1.1200000000000001</v>
      </c>
      <c r="M43" s="280">
        <f t="shared" si="1"/>
        <v>589.32857142857131</v>
      </c>
      <c r="N43" s="280">
        <f t="shared" si="1"/>
        <v>4.6964285714285722E-2</v>
      </c>
      <c r="O43" s="280">
        <f t="shared" si="1"/>
        <v>0.61678571428571427</v>
      </c>
      <c r="P43" s="584"/>
      <c r="Q43" s="120"/>
    </row>
    <row r="44" spans="5:17">
      <c r="E44" s="254" t="s">
        <v>119</v>
      </c>
      <c r="F44" s="253">
        <v>1.1200000000000001</v>
      </c>
      <c r="G44" s="255">
        <v>172.2923076923077</v>
      </c>
      <c r="H44" s="255">
        <v>5.2615384615384612E-2</v>
      </c>
      <c r="I44" s="255">
        <v>0.54423076923076907</v>
      </c>
      <c r="J44" s="576"/>
      <c r="K44" s="254" t="s">
        <v>119</v>
      </c>
      <c r="L44" s="243">
        <v>1.1200000000000001</v>
      </c>
      <c r="M44" s="280">
        <f t="shared" si="1"/>
        <v>589.32857142857131</v>
      </c>
      <c r="N44" s="280">
        <f t="shared" si="1"/>
        <v>4.6964285714285722E-2</v>
      </c>
      <c r="O44" s="280">
        <f t="shared" si="1"/>
        <v>0.61678571428571427</v>
      </c>
      <c r="P44" s="584"/>
      <c r="Q44" s="120"/>
    </row>
    <row r="45" spans="5:17">
      <c r="E45" s="254" t="s">
        <v>121</v>
      </c>
      <c r="F45" s="253">
        <v>1.1200000000000001</v>
      </c>
      <c r="G45" s="255">
        <v>172.2923076923077</v>
      </c>
      <c r="H45" s="255">
        <v>5.2615384615384612E-2</v>
      </c>
      <c r="I45" s="255">
        <v>0.54423076923076907</v>
      </c>
      <c r="J45" s="576"/>
      <c r="K45" s="254" t="s">
        <v>121</v>
      </c>
      <c r="L45" s="243">
        <v>1.1200000000000001</v>
      </c>
      <c r="M45" s="280">
        <f t="shared" si="1"/>
        <v>589.32857142857131</v>
      </c>
      <c r="N45" s="280">
        <f t="shared" si="1"/>
        <v>4.6964285714285722E-2</v>
      </c>
      <c r="O45" s="280">
        <f t="shared" si="1"/>
        <v>0.61678571428571427</v>
      </c>
      <c r="P45" s="584"/>
      <c r="Q45" s="120"/>
    </row>
    <row r="46" spans="5:17">
      <c r="E46" s="254" t="s">
        <v>118</v>
      </c>
      <c r="F46" s="253">
        <v>1.1200000000000001</v>
      </c>
      <c r="G46" s="255">
        <v>172.2923076923077</v>
      </c>
      <c r="H46" s="255">
        <v>5.2615384615384612E-2</v>
      </c>
      <c r="I46" s="255">
        <v>0.54423076923076907</v>
      </c>
      <c r="J46" s="576"/>
      <c r="K46" s="254" t="s">
        <v>118</v>
      </c>
      <c r="L46" s="243">
        <v>1.1200000000000001</v>
      </c>
      <c r="M46" s="280">
        <f t="shared" si="1"/>
        <v>589.32857142857131</v>
      </c>
      <c r="N46" s="280">
        <f t="shared" si="1"/>
        <v>4.6964285714285722E-2</v>
      </c>
      <c r="O46" s="280">
        <f t="shared" si="1"/>
        <v>0.61678571428571427</v>
      </c>
      <c r="P46" s="584"/>
      <c r="Q46" s="120"/>
    </row>
    <row r="47" spans="5:17">
      <c r="E47" s="254" t="s">
        <v>117</v>
      </c>
      <c r="F47" s="253">
        <v>1.1200000000000001</v>
      </c>
      <c r="G47" s="255">
        <v>172.2923076923077</v>
      </c>
      <c r="H47" s="255">
        <v>5.2615384615384612E-2</v>
      </c>
      <c r="I47" s="255">
        <v>0.54423076923076907</v>
      </c>
      <c r="J47" s="576"/>
      <c r="K47" s="254" t="s">
        <v>117</v>
      </c>
      <c r="L47" s="243">
        <v>1.1200000000000001</v>
      </c>
      <c r="M47" s="280">
        <f t="shared" si="1"/>
        <v>589.32857142857131</v>
      </c>
      <c r="N47" s="280">
        <f t="shared" si="1"/>
        <v>4.6964285714285722E-2</v>
      </c>
      <c r="O47" s="280">
        <f t="shared" si="1"/>
        <v>0.61678571428571427</v>
      </c>
      <c r="P47" s="584"/>
      <c r="Q47" s="120"/>
    </row>
    <row r="48" spans="5:17">
      <c r="E48" s="254" t="s">
        <v>116</v>
      </c>
      <c r="F48" s="253">
        <v>1.1200000000000001</v>
      </c>
      <c r="G48" s="255">
        <v>172.2923076923077</v>
      </c>
      <c r="H48" s="255">
        <v>5.2615384615384612E-2</v>
      </c>
      <c r="I48" s="255">
        <v>0.54423076923076907</v>
      </c>
      <c r="J48" s="576"/>
      <c r="K48" s="254" t="s">
        <v>116</v>
      </c>
      <c r="L48" s="243">
        <v>1.1200000000000001</v>
      </c>
      <c r="M48" s="280">
        <f t="shared" si="1"/>
        <v>589.32857142857131</v>
      </c>
      <c r="N48" s="280">
        <f t="shared" si="1"/>
        <v>4.6964285714285722E-2</v>
      </c>
      <c r="O48" s="280">
        <f t="shared" si="1"/>
        <v>0.61678571428571427</v>
      </c>
      <c r="P48" s="584"/>
      <c r="Q48" s="120"/>
    </row>
    <row r="49" spans="5:17">
      <c r="E49" s="254" t="s">
        <v>115</v>
      </c>
      <c r="F49" s="253">
        <v>1.1200000000000001</v>
      </c>
      <c r="G49" s="255">
        <v>172.2923076923077</v>
      </c>
      <c r="H49" s="255">
        <v>5.2615384615384612E-2</v>
      </c>
      <c r="I49" s="255">
        <v>0.54423076923076907</v>
      </c>
      <c r="J49" s="576"/>
      <c r="K49" s="254" t="s">
        <v>115</v>
      </c>
      <c r="L49" s="243">
        <v>1.1200000000000001</v>
      </c>
      <c r="M49" s="280">
        <f t="shared" si="1"/>
        <v>589.32857142857131</v>
      </c>
      <c r="N49" s="280">
        <f t="shared" si="1"/>
        <v>4.6964285714285722E-2</v>
      </c>
      <c r="O49" s="280">
        <f t="shared" si="1"/>
        <v>0.61678571428571427</v>
      </c>
      <c r="P49" s="584"/>
      <c r="Q49" s="120"/>
    </row>
    <row r="50" spans="5:17">
      <c r="E50" s="254" t="s">
        <v>114</v>
      </c>
      <c r="F50" s="253">
        <v>1.1200000000000001</v>
      </c>
      <c r="G50" s="255">
        <v>172.2923076923077</v>
      </c>
      <c r="H50" s="255">
        <v>5.2615384615384612E-2</v>
      </c>
      <c r="I50" s="255">
        <v>0.54423076923076907</v>
      </c>
      <c r="J50" s="576"/>
      <c r="K50" s="254" t="s">
        <v>114</v>
      </c>
      <c r="L50" s="243">
        <v>1.1200000000000001</v>
      </c>
      <c r="M50" s="280">
        <f t="shared" si="1"/>
        <v>589.32857142857131</v>
      </c>
      <c r="N50" s="280">
        <f t="shared" si="1"/>
        <v>4.6964285714285722E-2</v>
      </c>
      <c r="O50" s="280">
        <f t="shared" si="1"/>
        <v>0.61678571428571427</v>
      </c>
      <c r="P50" s="584"/>
      <c r="Q50" s="120"/>
    </row>
    <row r="51" spans="5:17">
      <c r="E51" s="254" t="s">
        <v>111</v>
      </c>
      <c r="F51" s="253">
        <v>1.1200000000000001</v>
      </c>
      <c r="G51" s="255">
        <v>172.2923076923077</v>
      </c>
      <c r="H51" s="255">
        <v>5.2615384615384612E-2</v>
      </c>
      <c r="I51" s="255">
        <v>0.54423076923076907</v>
      </c>
      <c r="J51" s="576"/>
      <c r="K51" s="254" t="s">
        <v>111</v>
      </c>
      <c r="L51" s="243">
        <v>1.1200000000000001</v>
      </c>
      <c r="M51" s="280">
        <f t="shared" si="1"/>
        <v>589.32857142857131</v>
      </c>
      <c r="N51" s="280">
        <f t="shared" si="1"/>
        <v>4.6964285714285722E-2</v>
      </c>
      <c r="O51" s="280">
        <f t="shared" si="1"/>
        <v>0.61678571428571427</v>
      </c>
      <c r="P51" s="584"/>
      <c r="Q51" s="120"/>
    </row>
    <row r="52" spans="5:17">
      <c r="E52" s="254" t="s">
        <v>113</v>
      </c>
      <c r="F52" s="253">
        <v>1.1200000000000001</v>
      </c>
      <c r="G52" s="256">
        <v>172.2923076923077</v>
      </c>
      <c r="H52" s="256">
        <v>5.2615384615384612E-2</v>
      </c>
      <c r="I52" s="256">
        <v>0.54423076923076907</v>
      </c>
      <c r="J52" s="576"/>
      <c r="K52" s="254" t="s">
        <v>113</v>
      </c>
      <c r="L52" s="243">
        <v>1.1200000000000001</v>
      </c>
      <c r="M52" s="280">
        <f t="shared" si="1"/>
        <v>589.32857142857131</v>
      </c>
      <c r="N52" s="280">
        <f t="shared" si="1"/>
        <v>4.6964285714285722E-2</v>
      </c>
      <c r="O52" s="280">
        <f t="shared" si="1"/>
        <v>0.61678571428571427</v>
      </c>
      <c r="P52" s="584"/>
      <c r="Q52" s="120"/>
    </row>
    <row r="53" spans="5:17">
      <c r="E53" s="254" t="s">
        <v>112</v>
      </c>
      <c r="F53" s="253">
        <v>1.1200000000000001</v>
      </c>
      <c r="G53" s="256">
        <v>172.2923076923077</v>
      </c>
      <c r="H53" s="256">
        <v>5.2615384615384612E-2</v>
      </c>
      <c r="I53" s="256">
        <v>0.54423076923076907</v>
      </c>
      <c r="J53" s="576"/>
      <c r="K53" s="254" t="s">
        <v>112</v>
      </c>
      <c r="L53" s="243">
        <v>1.1200000000000001</v>
      </c>
      <c r="M53" s="280">
        <f t="shared" si="1"/>
        <v>589.32857142857131</v>
      </c>
      <c r="N53" s="280">
        <f t="shared" si="1"/>
        <v>4.6964285714285722E-2</v>
      </c>
      <c r="O53" s="280">
        <f t="shared" si="1"/>
        <v>0.61678571428571427</v>
      </c>
      <c r="P53" s="584"/>
      <c r="Q53" s="120"/>
    </row>
    <row r="54" spans="5:17">
      <c r="E54" s="254" t="s">
        <v>109</v>
      </c>
      <c r="F54" s="253">
        <v>1.1200000000000001</v>
      </c>
      <c r="G54" s="256">
        <v>172.2923076923077</v>
      </c>
      <c r="H54" s="256">
        <v>5.2615384615384612E-2</v>
      </c>
      <c r="I54" s="256">
        <v>0.54423076923076907</v>
      </c>
      <c r="J54" s="576"/>
      <c r="K54" s="254" t="s">
        <v>109</v>
      </c>
      <c r="L54" s="243">
        <v>1.1200000000000001</v>
      </c>
      <c r="M54" s="280">
        <f t="shared" si="1"/>
        <v>589.32857142857131</v>
      </c>
      <c r="N54" s="280">
        <f t="shared" si="1"/>
        <v>4.6964285714285722E-2</v>
      </c>
      <c r="O54" s="280">
        <f t="shared" si="1"/>
        <v>0.61678571428571427</v>
      </c>
      <c r="P54" s="584"/>
      <c r="Q54" s="120"/>
    </row>
    <row r="55" spans="5:17">
      <c r="E55" s="254" t="s">
        <v>110</v>
      </c>
      <c r="F55" s="253">
        <v>1.1200000000000001</v>
      </c>
      <c r="G55" s="256">
        <v>172.2923076923077</v>
      </c>
      <c r="H55" s="256">
        <v>5.2615384615384612E-2</v>
      </c>
      <c r="I55" s="256">
        <v>0.54423076923076907</v>
      </c>
      <c r="J55" s="576"/>
      <c r="K55" s="254" t="s">
        <v>110</v>
      </c>
      <c r="L55" s="243">
        <v>1.1200000000000001</v>
      </c>
      <c r="M55" s="280">
        <f t="shared" si="1"/>
        <v>589.32857142857131</v>
      </c>
      <c r="N55" s="280">
        <f t="shared" si="1"/>
        <v>4.6964285714285722E-2</v>
      </c>
      <c r="O55" s="280">
        <f t="shared" si="1"/>
        <v>0.61678571428571427</v>
      </c>
      <c r="P55" s="584"/>
      <c r="Q55" s="120"/>
    </row>
    <row r="56" spans="5:17">
      <c r="E56" s="254" t="s">
        <v>436</v>
      </c>
      <c r="F56" s="253">
        <v>1.1200000000000001</v>
      </c>
      <c r="G56" s="256">
        <v>172.2923076923077</v>
      </c>
      <c r="H56" s="256">
        <v>5.2615384615384612E-2</v>
      </c>
      <c r="I56" s="256">
        <v>0.54423076923076907</v>
      </c>
      <c r="J56" s="576"/>
      <c r="K56" s="254" t="s">
        <v>436</v>
      </c>
      <c r="L56" s="243">
        <v>1.1200000000000001</v>
      </c>
      <c r="M56" s="280">
        <f t="shared" si="1"/>
        <v>589.32857142857131</v>
      </c>
      <c r="N56" s="280">
        <f t="shared" si="1"/>
        <v>4.6964285714285722E-2</v>
      </c>
      <c r="O56" s="280">
        <f t="shared" si="1"/>
        <v>0.61678571428571427</v>
      </c>
      <c r="P56" s="584"/>
      <c r="Q56" s="120"/>
    </row>
    <row r="58" spans="5:17">
      <c r="E58" s="583" t="s">
        <v>991</v>
      </c>
      <c r="F58" s="583"/>
      <c r="G58" s="583"/>
      <c r="H58" s="583"/>
      <c r="I58" s="583"/>
      <c r="J58" s="583"/>
      <c r="K58" s="583"/>
    </row>
    <row r="59" spans="5:17">
      <c r="E59" s="582" t="s">
        <v>432</v>
      </c>
      <c r="F59" s="580" t="s">
        <v>974</v>
      </c>
      <c r="G59" s="563" t="s">
        <v>12</v>
      </c>
      <c r="H59" s="563"/>
      <c r="I59" s="563" t="s">
        <v>9</v>
      </c>
      <c r="J59" s="563" t="s">
        <v>10</v>
      </c>
      <c r="K59" s="575" t="s">
        <v>11</v>
      </c>
      <c r="M59" s="259"/>
    </row>
    <row r="60" spans="5:17">
      <c r="E60" s="582"/>
      <c r="F60" s="581"/>
      <c r="G60" s="118" t="s">
        <v>7</v>
      </c>
      <c r="H60" s="118" t="s">
        <v>8</v>
      </c>
      <c r="I60" s="563"/>
      <c r="J60" s="563"/>
      <c r="K60" s="575"/>
      <c r="M60" s="259"/>
    </row>
    <row r="61" spans="5:17">
      <c r="E61" s="564" t="s">
        <v>973</v>
      </c>
      <c r="F61" s="240" t="s">
        <v>979</v>
      </c>
      <c r="G61" s="239">
        <v>1.37</v>
      </c>
      <c r="H61" s="239">
        <v>1.37</v>
      </c>
      <c r="I61" s="239">
        <v>0.26</v>
      </c>
      <c r="J61" s="239">
        <v>0.46899999999999997</v>
      </c>
      <c r="K61" s="3">
        <v>0.5</v>
      </c>
      <c r="M61" s="25"/>
    </row>
    <row r="62" spans="5:17">
      <c r="E62" s="565"/>
      <c r="F62" s="238" t="s">
        <v>978</v>
      </c>
      <c r="G62" s="239">
        <v>1.37</v>
      </c>
      <c r="H62" s="239">
        <v>1.37</v>
      </c>
      <c r="I62" s="239">
        <v>0.26</v>
      </c>
      <c r="J62" s="239">
        <v>0.46899999999999997</v>
      </c>
      <c r="K62" s="3">
        <v>0.5</v>
      </c>
      <c r="M62" s="25"/>
    </row>
    <row r="63" spans="5:17">
      <c r="E63" s="565"/>
      <c r="F63" s="238" t="s">
        <v>146</v>
      </c>
      <c r="G63" s="239">
        <v>1.37</v>
      </c>
      <c r="H63" s="239">
        <v>1.37</v>
      </c>
      <c r="I63" s="239">
        <v>0.26</v>
      </c>
      <c r="J63" s="239">
        <v>0.46899999999999997</v>
      </c>
      <c r="K63" s="3">
        <v>0.5</v>
      </c>
      <c r="M63" s="25"/>
    </row>
    <row r="64" spans="5:17">
      <c r="E64" s="565"/>
      <c r="F64" s="238" t="s">
        <v>147</v>
      </c>
      <c r="G64" s="239">
        <v>1.37</v>
      </c>
      <c r="H64" s="239">
        <v>1.37</v>
      </c>
      <c r="I64" s="239">
        <v>0.26</v>
      </c>
      <c r="J64" s="239">
        <v>0.46899999999999997</v>
      </c>
      <c r="K64" s="3">
        <v>0.5</v>
      </c>
      <c r="M64" s="25"/>
    </row>
    <row r="65" spans="5:13">
      <c r="E65" s="565"/>
      <c r="F65" s="238" t="s">
        <v>149</v>
      </c>
      <c r="G65" s="239">
        <v>1.37</v>
      </c>
      <c r="H65" s="239">
        <v>1.37</v>
      </c>
      <c r="I65" s="239">
        <v>0.26</v>
      </c>
      <c r="J65" s="239">
        <v>0.46899999999999997</v>
      </c>
      <c r="K65" s="3">
        <v>0.5</v>
      </c>
      <c r="M65" s="25"/>
    </row>
    <row r="66" spans="5:13">
      <c r="E66" s="565"/>
      <c r="F66" s="238" t="s">
        <v>153</v>
      </c>
      <c r="G66" s="239">
        <v>1.37</v>
      </c>
      <c r="H66" s="239">
        <v>1.37</v>
      </c>
      <c r="I66" s="239">
        <v>0.26</v>
      </c>
      <c r="J66" s="239">
        <v>0.46899999999999997</v>
      </c>
      <c r="K66" s="3">
        <v>0.5</v>
      </c>
      <c r="M66" s="25"/>
    </row>
    <row r="67" spans="5:13">
      <c r="E67" s="565"/>
      <c r="F67" s="238" t="s">
        <v>154</v>
      </c>
      <c r="G67" s="239">
        <v>1.37</v>
      </c>
      <c r="H67" s="239">
        <v>1.37</v>
      </c>
      <c r="I67" s="239">
        <v>0.26</v>
      </c>
      <c r="J67" s="239">
        <v>0.46899999999999997</v>
      </c>
      <c r="K67" s="3">
        <v>0.5</v>
      </c>
      <c r="M67" s="25"/>
    </row>
    <row r="68" spans="5:13">
      <c r="E68" s="565"/>
      <c r="F68" s="240" t="s">
        <v>131</v>
      </c>
      <c r="G68" s="239">
        <v>1.52</v>
      </c>
      <c r="H68" s="239">
        <v>1.33</v>
      </c>
      <c r="I68" s="239">
        <v>0.26</v>
      </c>
      <c r="J68" s="239">
        <v>0.64600000000000002</v>
      </c>
      <c r="K68" s="3">
        <v>0.5</v>
      </c>
      <c r="M68" s="25"/>
    </row>
    <row r="69" spans="5:13">
      <c r="E69" s="565"/>
      <c r="F69" s="238" t="s">
        <v>137</v>
      </c>
      <c r="G69" s="239">
        <v>1.52</v>
      </c>
      <c r="H69" s="239">
        <v>1.33</v>
      </c>
      <c r="I69" s="239">
        <v>0.26</v>
      </c>
      <c r="J69" s="239">
        <v>0.64600000000000002</v>
      </c>
      <c r="K69" s="3">
        <v>0.5</v>
      </c>
      <c r="M69" s="25"/>
    </row>
    <row r="70" spans="5:13">
      <c r="E70" s="565"/>
      <c r="F70" s="238" t="s">
        <v>151</v>
      </c>
      <c r="G70" s="239">
        <v>1.52</v>
      </c>
      <c r="H70" s="239">
        <v>1.33</v>
      </c>
      <c r="I70" s="239">
        <v>0.26</v>
      </c>
      <c r="J70" s="239">
        <v>0.64600000000000002</v>
      </c>
      <c r="K70" s="3">
        <v>0.5</v>
      </c>
      <c r="M70" s="25"/>
    </row>
    <row r="71" spans="5:13">
      <c r="E71" s="565"/>
      <c r="F71" s="238" t="s">
        <v>150</v>
      </c>
      <c r="G71" s="239">
        <v>1.52</v>
      </c>
      <c r="H71" s="239">
        <v>1.33</v>
      </c>
      <c r="I71" s="239">
        <v>0.26</v>
      </c>
      <c r="J71" s="239">
        <v>0.64600000000000002</v>
      </c>
      <c r="K71" s="3">
        <v>0.5</v>
      </c>
      <c r="M71" s="25"/>
    </row>
    <row r="72" spans="5:13">
      <c r="E72" s="565"/>
      <c r="F72" s="238" t="s">
        <v>152</v>
      </c>
      <c r="G72" s="239">
        <v>1.52</v>
      </c>
      <c r="H72" s="239">
        <v>1.33</v>
      </c>
      <c r="I72" s="239">
        <v>0.26</v>
      </c>
      <c r="J72" s="239">
        <v>0.64600000000000002</v>
      </c>
      <c r="K72" s="3">
        <v>0.5</v>
      </c>
      <c r="M72" s="25"/>
    </row>
    <row r="73" spans="5:13">
      <c r="E73" s="565"/>
      <c r="F73" s="238" t="s">
        <v>148</v>
      </c>
      <c r="G73" s="239">
        <v>1.52</v>
      </c>
      <c r="H73" s="239">
        <v>1.33</v>
      </c>
      <c r="I73" s="239">
        <v>0.26</v>
      </c>
      <c r="J73" s="239">
        <v>0.64600000000000002</v>
      </c>
      <c r="K73" s="3">
        <v>0.5</v>
      </c>
      <c r="M73" s="25"/>
    </row>
    <row r="74" spans="5:13">
      <c r="E74" s="566"/>
      <c r="F74" s="3" t="s">
        <v>975</v>
      </c>
      <c r="G74" s="239">
        <v>1.4</v>
      </c>
      <c r="H74" s="239">
        <v>1.26</v>
      </c>
      <c r="I74" s="239">
        <v>0.26</v>
      </c>
      <c r="J74" s="239">
        <v>0.624</v>
      </c>
      <c r="K74" s="3">
        <v>0.5</v>
      </c>
      <c r="M74" s="25"/>
    </row>
    <row r="75" spans="5:13">
      <c r="E75" s="564" t="s">
        <v>976</v>
      </c>
      <c r="F75" s="240" t="s">
        <v>90</v>
      </c>
      <c r="G75" s="3">
        <v>1.4</v>
      </c>
      <c r="H75" s="3">
        <v>1.26</v>
      </c>
      <c r="I75" s="3">
        <v>0.26</v>
      </c>
      <c r="J75" s="3">
        <v>0.624</v>
      </c>
      <c r="K75" s="3">
        <v>0.5</v>
      </c>
      <c r="M75" s="25"/>
    </row>
    <row r="76" spans="5:13">
      <c r="E76" s="565"/>
      <c r="F76" s="241" t="s">
        <v>109</v>
      </c>
      <c r="G76" s="239">
        <v>2.5499999999999998</v>
      </c>
      <c r="H76" s="239">
        <v>1.32</v>
      </c>
      <c r="I76" s="239">
        <v>0.34</v>
      </c>
      <c r="J76" s="239">
        <v>0.35199999999999998</v>
      </c>
      <c r="K76" s="3">
        <v>0.5</v>
      </c>
      <c r="M76" s="25"/>
    </row>
    <row r="77" spans="5:13">
      <c r="E77" s="565"/>
      <c r="F77" s="241" t="s">
        <v>112</v>
      </c>
      <c r="G77" s="239">
        <v>2.5499999999999998</v>
      </c>
      <c r="H77" s="239">
        <v>1.32</v>
      </c>
      <c r="I77" s="239">
        <v>0.34</v>
      </c>
      <c r="J77" s="239">
        <v>0.35199999999999998</v>
      </c>
      <c r="K77" s="3">
        <v>0.5</v>
      </c>
      <c r="M77" s="25"/>
    </row>
    <row r="78" spans="5:13">
      <c r="E78" s="565"/>
      <c r="F78" s="241" t="s">
        <v>110</v>
      </c>
      <c r="G78" s="239">
        <v>2.5499999999999998</v>
      </c>
      <c r="H78" s="239">
        <v>1.32</v>
      </c>
      <c r="I78" s="239">
        <v>0.34</v>
      </c>
      <c r="J78" s="239">
        <v>0.35199999999999998</v>
      </c>
      <c r="K78" s="3">
        <v>0.5</v>
      </c>
      <c r="M78" s="25"/>
    </row>
    <row r="79" spans="5:13">
      <c r="E79" s="565"/>
      <c r="F79" s="241" t="s">
        <v>111</v>
      </c>
      <c r="G79" s="239">
        <v>2.5499999999999998</v>
      </c>
      <c r="H79" s="239">
        <v>1.32</v>
      </c>
      <c r="I79" s="239">
        <v>0.34</v>
      </c>
      <c r="J79" s="239">
        <v>0.35199999999999998</v>
      </c>
      <c r="K79" s="3">
        <v>0.5</v>
      </c>
      <c r="M79" s="25"/>
    </row>
    <row r="80" spans="5:13">
      <c r="E80" s="565"/>
      <c r="F80" s="241" t="s">
        <v>113</v>
      </c>
      <c r="G80" s="239">
        <v>2.5499999999999998</v>
      </c>
      <c r="H80" s="239">
        <v>1.32</v>
      </c>
      <c r="I80" s="239">
        <v>0.34</v>
      </c>
      <c r="J80" s="239">
        <v>0.35199999999999998</v>
      </c>
      <c r="K80" s="3">
        <v>0.5</v>
      </c>
      <c r="M80" s="25"/>
    </row>
    <row r="81" spans="5:13">
      <c r="E81" s="565"/>
      <c r="F81" s="241" t="s">
        <v>114</v>
      </c>
      <c r="G81" s="239">
        <v>2.5499999999999998</v>
      </c>
      <c r="H81" s="239">
        <v>1.32</v>
      </c>
      <c r="I81" s="239">
        <v>0.34</v>
      </c>
      <c r="J81" s="239">
        <v>0.35199999999999998</v>
      </c>
      <c r="K81" s="3">
        <v>0.5</v>
      </c>
      <c r="M81" s="25"/>
    </row>
    <row r="82" spans="5:13">
      <c r="E82" s="565"/>
      <c r="F82" s="242" t="s">
        <v>116</v>
      </c>
      <c r="G82" s="239">
        <v>2.5499999999999998</v>
      </c>
      <c r="H82" s="239">
        <v>1.32</v>
      </c>
      <c r="I82" s="239">
        <v>0.34</v>
      </c>
      <c r="J82" s="239">
        <v>0.35199999999999998</v>
      </c>
      <c r="K82" s="3">
        <v>0.5</v>
      </c>
      <c r="M82" s="25"/>
    </row>
    <row r="83" spans="5:13">
      <c r="E83" s="565"/>
      <c r="F83" s="242" t="s">
        <v>117</v>
      </c>
      <c r="G83" s="239">
        <v>2.5499999999999998</v>
      </c>
      <c r="H83" s="239">
        <v>1.32</v>
      </c>
      <c r="I83" s="239">
        <v>0.34</v>
      </c>
      <c r="J83" s="239">
        <v>0.35199999999999998</v>
      </c>
      <c r="K83" s="3">
        <v>0.5</v>
      </c>
      <c r="M83" s="25"/>
    </row>
    <row r="84" spans="5:13">
      <c r="E84" s="565"/>
      <c r="F84" s="242" t="s">
        <v>118</v>
      </c>
      <c r="G84" s="239">
        <v>2.5499999999999998</v>
      </c>
      <c r="H84" s="239">
        <v>1.32</v>
      </c>
      <c r="I84" s="239">
        <v>0.34</v>
      </c>
      <c r="J84" s="239">
        <v>0.35199999999999998</v>
      </c>
      <c r="K84" s="3">
        <v>0.5</v>
      </c>
      <c r="M84" s="25"/>
    </row>
    <row r="85" spans="5:13">
      <c r="E85" s="565"/>
      <c r="F85" s="242" t="s">
        <v>122</v>
      </c>
      <c r="G85" s="239">
        <v>2.5499999999999998</v>
      </c>
      <c r="H85" s="239">
        <v>1.32</v>
      </c>
      <c r="I85" s="239">
        <v>0.34</v>
      </c>
      <c r="J85" s="239">
        <v>0.35199999999999998</v>
      </c>
      <c r="K85" s="3">
        <v>0.5</v>
      </c>
      <c r="M85" s="25"/>
    </row>
    <row r="86" spans="5:13">
      <c r="E86" s="565"/>
      <c r="F86" s="242" t="s">
        <v>123</v>
      </c>
      <c r="G86" s="239">
        <v>2.5499999999999998</v>
      </c>
      <c r="H86" s="239">
        <v>1.32</v>
      </c>
      <c r="I86" s="239">
        <v>0.34</v>
      </c>
      <c r="J86" s="239">
        <v>0.35199999999999998</v>
      </c>
      <c r="K86" s="3">
        <v>0.5</v>
      </c>
      <c r="M86" s="25"/>
    </row>
    <row r="87" spans="5:13">
      <c r="E87" s="565"/>
      <c r="F87" s="242" t="s">
        <v>126</v>
      </c>
      <c r="G87" s="239">
        <v>2.5499999999999998</v>
      </c>
      <c r="H87" s="239">
        <v>1.32</v>
      </c>
      <c r="I87" s="239">
        <v>0.34</v>
      </c>
      <c r="J87" s="239">
        <v>0.35199999999999998</v>
      </c>
      <c r="K87" s="3">
        <v>0.5</v>
      </c>
      <c r="M87" s="25"/>
    </row>
    <row r="88" spans="5:13">
      <c r="E88" s="565"/>
      <c r="F88" s="242" t="s">
        <v>127</v>
      </c>
      <c r="G88" s="239">
        <v>2.5499999999999998</v>
      </c>
      <c r="H88" s="239">
        <v>1.32</v>
      </c>
      <c r="I88" s="239">
        <v>0.34</v>
      </c>
      <c r="J88" s="239">
        <v>0.35199999999999998</v>
      </c>
      <c r="K88" s="3">
        <v>0.5</v>
      </c>
      <c r="M88" s="25"/>
    </row>
    <row r="89" spans="5:13">
      <c r="E89" s="565"/>
      <c r="F89" s="242" t="s">
        <v>128</v>
      </c>
      <c r="G89" s="239">
        <v>2.5499999999999998</v>
      </c>
      <c r="H89" s="239">
        <v>1.32</v>
      </c>
      <c r="I89" s="239">
        <v>0.34</v>
      </c>
      <c r="J89" s="239">
        <v>0.35199999999999998</v>
      </c>
      <c r="K89" s="3">
        <v>0.5</v>
      </c>
      <c r="M89" s="25"/>
    </row>
    <row r="90" spans="5:13">
      <c r="E90" s="565"/>
      <c r="F90" s="241" t="s">
        <v>129</v>
      </c>
      <c r="G90" s="239">
        <v>2.5499999999999998</v>
      </c>
      <c r="H90" s="239">
        <v>1.32</v>
      </c>
      <c r="I90" s="239">
        <v>0.34</v>
      </c>
      <c r="J90" s="239">
        <v>0.35199999999999998</v>
      </c>
      <c r="K90" s="3">
        <v>0.5</v>
      </c>
      <c r="M90" s="25"/>
    </row>
    <row r="91" spans="5:13">
      <c r="E91" s="565"/>
      <c r="F91" s="3" t="s">
        <v>977</v>
      </c>
      <c r="G91" s="239">
        <v>1.39</v>
      </c>
      <c r="H91" s="239">
        <v>1.36</v>
      </c>
      <c r="I91" s="239">
        <v>0.34</v>
      </c>
      <c r="J91" s="239">
        <v>0.46400000000000002</v>
      </c>
      <c r="K91" s="3">
        <v>0.5</v>
      </c>
      <c r="M91" s="25"/>
    </row>
    <row r="92" spans="5:13">
      <c r="E92" s="566"/>
      <c r="F92" s="3" t="s">
        <v>975</v>
      </c>
      <c r="G92" s="239">
        <v>1.4</v>
      </c>
      <c r="H92" s="239">
        <v>1.4</v>
      </c>
      <c r="I92" s="239">
        <v>0.4</v>
      </c>
      <c r="J92" s="239">
        <v>0.42299999999999999</v>
      </c>
      <c r="K92" s="3">
        <v>0.5</v>
      </c>
      <c r="M92" s="25"/>
    </row>
    <row r="94" spans="5:13">
      <c r="E94" s="560" t="s">
        <v>992</v>
      </c>
      <c r="F94" s="561"/>
      <c r="G94" s="562"/>
    </row>
    <row r="95" spans="5:13">
      <c r="E95" s="343" t="s">
        <v>238</v>
      </c>
      <c r="F95" s="344" t="s">
        <v>239</v>
      </c>
      <c r="G95" s="344" t="s">
        <v>240</v>
      </c>
    </row>
    <row r="96" spans="5:13">
      <c r="E96" s="344" t="s">
        <v>90</v>
      </c>
      <c r="F96" s="344" t="s">
        <v>90</v>
      </c>
      <c r="G96" s="345">
        <v>0.6</v>
      </c>
    </row>
    <row r="97" spans="5:7">
      <c r="E97" s="344" t="s">
        <v>109</v>
      </c>
      <c r="F97" s="344" t="s">
        <v>91</v>
      </c>
      <c r="G97" s="345">
        <v>0.8</v>
      </c>
    </row>
    <row r="98" spans="5:7">
      <c r="E98" s="344" t="s">
        <v>110</v>
      </c>
      <c r="F98" s="344" t="s">
        <v>91</v>
      </c>
      <c r="G98" s="345">
        <v>0.8</v>
      </c>
    </row>
    <row r="99" spans="5:7">
      <c r="E99" s="344" t="s">
        <v>111</v>
      </c>
      <c r="F99" s="344" t="s">
        <v>91</v>
      </c>
      <c r="G99" s="345">
        <v>0.8</v>
      </c>
    </row>
    <row r="100" spans="5:7">
      <c r="E100" s="344" t="s">
        <v>112</v>
      </c>
      <c r="F100" s="344" t="s">
        <v>91</v>
      </c>
      <c r="G100" s="345">
        <v>0.8</v>
      </c>
    </row>
    <row r="101" spans="5:7">
      <c r="E101" s="344" t="s">
        <v>113</v>
      </c>
      <c r="F101" s="344" t="s">
        <v>91</v>
      </c>
      <c r="G101" s="345">
        <v>0.8</v>
      </c>
    </row>
    <row r="102" spans="5:7">
      <c r="E102" s="344" t="s">
        <v>114</v>
      </c>
      <c r="F102" s="344" t="s">
        <v>91</v>
      </c>
      <c r="G102" s="345">
        <v>0.8</v>
      </c>
    </row>
    <row r="103" spans="5:7">
      <c r="E103" s="344" t="s">
        <v>115</v>
      </c>
      <c r="F103" s="344" t="s">
        <v>92</v>
      </c>
      <c r="G103" s="345">
        <v>0.9</v>
      </c>
    </row>
    <row r="104" spans="5:7">
      <c r="E104" s="344" t="s">
        <v>116</v>
      </c>
      <c r="F104" s="344" t="s">
        <v>92</v>
      </c>
      <c r="G104" s="345">
        <v>0.9</v>
      </c>
    </row>
    <row r="105" spans="5:7">
      <c r="E105" s="344" t="s">
        <v>117</v>
      </c>
      <c r="F105" s="344" t="s">
        <v>92</v>
      </c>
      <c r="G105" s="345">
        <v>0.9</v>
      </c>
    </row>
    <row r="106" spans="5:7">
      <c r="E106" s="344" t="s">
        <v>118</v>
      </c>
      <c r="F106" s="344" t="s">
        <v>92</v>
      </c>
      <c r="G106" s="345">
        <v>0.9</v>
      </c>
    </row>
    <row r="107" spans="5:7">
      <c r="E107" s="344" t="s">
        <v>119</v>
      </c>
      <c r="F107" s="344" t="s">
        <v>92</v>
      </c>
      <c r="G107" s="345">
        <v>0.9</v>
      </c>
    </row>
    <row r="108" spans="5:7">
      <c r="E108" s="344" t="s">
        <v>120</v>
      </c>
      <c r="F108" s="344" t="s">
        <v>92</v>
      </c>
      <c r="G108" s="345">
        <v>0.9</v>
      </c>
    </row>
    <row r="109" spans="5:7">
      <c r="E109" s="344" t="s">
        <v>121</v>
      </c>
      <c r="F109" s="344" t="s">
        <v>92</v>
      </c>
      <c r="G109" s="345">
        <v>0.9</v>
      </c>
    </row>
    <row r="110" spans="5:7">
      <c r="E110" s="344" t="s">
        <v>122</v>
      </c>
      <c r="F110" s="344" t="s">
        <v>94</v>
      </c>
      <c r="G110" s="345">
        <v>0.9</v>
      </c>
    </row>
    <row r="111" spans="5:7">
      <c r="E111" s="344" t="s">
        <v>123</v>
      </c>
      <c r="F111" s="344" t="s">
        <v>94</v>
      </c>
      <c r="G111" s="345">
        <v>0.9</v>
      </c>
    </row>
    <row r="112" spans="5:7">
      <c r="E112" s="344" t="s">
        <v>124</v>
      </c>
      <c r="F112" s="344" t="s">
        <v>94</v>
      </c>
      <c r="G112" s="345">
        <v>0.9</v>
      </c>
    </row>
    <row r="113" spans="5:7">
      <c r="E113" s="344" t="s">
        <v>125</v>
      </c>
      <c r="F113" s="344" t="s">
        <v>94</v>
      </c>
      <c r="G113" s="345">
        <v>0.9</v>
      </c>
    </row>
    <row r="114" spans="5:7">
      <c r="E114" s="344" t="s">
        <v>126</v>
      </c>
      <c r="F114" s="344" t="s">
        <v>93</v>
      </c>
      <c r="G114" s="345">
        <v>0.8</v>
      </c>
    </row>
    <row r="115" spans="5:7">
      <c r="E115" s="344" t="s">
        <v>127</v>
      </c>
      <c r="F115" s="344" t="s">
        <v>93</v>
      </c>
      <c r="G115" s="345">
        <v>0.8</v>
      </c>
    </row>
    <row r="116" spans="5:7">
      <c r="E116" s="344" t="s">
        <v>128</v>
      </c>
      <c r="F116" s="344" t="s">
        <v>93</v>
      </c>
      <c r="G116" s="345">
        <v>0.8</v>
      </c>
    </row>
    <row r="117" spans="5:7">
      <c r="E117" s="344" t="s">
        <v>129</v>
      </c>
      <c r="F117" s="344" t="s">
        <v>95</v>
      </c>
      <c r="G117" s="345">
        <v>1</v>
      </c>
    </row>
    <row r="118" spans="5:7">
      <c r="E118" s="344" t="s">
        <v>130</v>
      </c>
      <c r="F118" s="344" t="s">
        <v>95</v>
      </c>
      <c r="G118" s="345">
        <v>1</v>
      </c>
    </row>
    <row r="119" spans="5:7">
      <c r="E119" s="344" t="s">
        <v>131</v>
      </c>
      <c r="F119" s="344" t="s">
        <v>95</v>
      </c>
      <c r="G119" s="345">
        <v>1</v>
      </c>
    </row>
    <row r="120" spans="5:7">
      <c r="E120" s="344" t="s">
        <v>132</v>
      </c>
      <c r="F120" s="344" t="s">
        <v>96</v>
      </c>
      <c r="G120" s="345">
        <v>1</v>
      </c>
    </row>
    <row r="121" spans="5:7">
      <c r="E121" s="344" t="s">
        <v>133</v>
      </c>
      <c r="F121" s="344" t="s">
        <v>96</v>
      </c>
      <c r="G121" s="345">
        <v>1</v>
      </c>
    </row>
    <row r="122" spans="5:7">
      <c r="E122" s="344" t="s">
        <v>134</v>
      </c>
      <c r="F122" s="344" t="s">
        <v>96</v>
      </c>
      <c r="G122" s="345">
        <v>1</v>
      </c>
    </row>
    <row r="123" spans="5:7">
      <c r="E123" s="344" t="s">
        <v>135</v>
      </c>
      <c r="F123" s="344" t="s">
        <v>96</v>
      </c>
      <c r="G123" s="345">
        <v>1</v>
      </c>
    </row>
    <row r="124" spans="5:7">
      <c r="E124" s="344" t="s">
        <v>136</v>
      </c>
      <c r="F124" s="344" t="s">
        <v>96</v>
      </c>
      <c r="G124" s="345">
        <v>1</v>
      </c>
    </row>
    <row r="125" spans="5:7">
      <c r="E125" s="344" t="s">
        <v>137</v>
      </c>
      <c r="F125" s="344" t="s">
        <v>96</v>
      </c>
      <c r="G125" s="345">
        <v>1</v>
      </c>
    </row>
    <row r="126" spans="5:7">
      <c r="E126" s="344" t="s">
        <v>138</v>
      </c>
      <c r="F126" s="344" t="s">
        <v>97</v>
      </c>
      <c r="G126" s="345">
        <v>1</v>
      </c>
    </row>
    <row r="127" spans="5:7">
      <c r="E127" s="344" t="s">
        <v>139</v>
      </c>
      <c r="F127" s="344" t="s">
        <v>97</v>
      </c>
      <c r="G127" s="345">
        <v>1</v>
      </c>
    </row>
    <row r="128" spans="5:7">
      <c r="E128" s="344" t="s">
        <v>140</v>
      </c>
      <c r="F128" s="344" t="s">
        <v>97</v>
      </c>
      <c r="G128" s="345">
        <v>1</v>
      </c>
    </row>
    <row r="129" spans="5:7">
      <c r="E129" s="344" t="s">
        <v>141</v>
      </c>
      <c r="F129" s="344" t="s">
        <v>97</v>
      </c>
      <c r="G129" s="345">
        <v>1</v>
      </c>
    </row>
    <row r="130" spans="5:7">
      <c r="E130" s="344" t="s">
        <v>142</v>
      </c>
      <c r="F130" s="344" t="s">
        <v>97</v>
      </c>
      <c r="G130" s="345">
        <v>1</v>
      </c>
    </row>
    <row r="131" spans="5:7">
      <c r="E131" s="344" t="s">
        <v>143</v>
      </c>
      <c r="F131" s="344" t="s">
        <v>98</v>
      </c>
      <c r="G131" s="345">
        <v>1</v>
      </c>
    </row>
    <row r="132" spans="5:7">
      <c r="E132" s="344" t="s">
        <v>144</v>
      </c>
      <c r="F132" s="344" t="s">
        <v>98</v>
      </c>
      <c r="G132" s="345">
        <v>1</v>
      </c>
    </row>
    <row r="133" spans="5:7">
      <c r="E133" s="344" t="s">
        <v>145</v>
      </c>
      <c r="F133" s="344" t="s">
        <v>98</v>
      </c>
      <c r="G133" s="345">
        <v>1</v>
      </c>
    </row>
    <row r="134" spans="5:7">
      <c r="E134" s="344" t="s">
        <v>146</v>
      </c>
      <c r="F134" s="344" t="s">
        <v>98</v>
      </c>
      <c r="G134" s="345">
        <v>1</v>
      </c>
    </row>
    <row r="135" spans="5:7">
      <c r="E135" s="344" t="s">
        <v>147</v>
      </c>
      <c r="F135" s="344" t="s">
        <v>99</v>
      </c>
      <c r="G135" s="345">
        <v>1.1000000000000001</v>
      </c>
    </row>
    <row r="136" spans="5:7">
      <c r="E136" s="344" t="s">
        <v>148</v>
      </c>
      <c r="F136" s="344" t="s">
        <v>99</v>
      </c>
      <c r="G136" s="345">
        <v>1.1000000000000001</v>
      </c>
    </row>
    <row r="137" spans="5:7">
      <c r="E137" s="344" t="s">
        <v>149</v>
      </c>
      <c r="F137" s="344" t="s">
        <v>99</v>
      </c>
      <c r="G137" s="345">
        <v>1.1000000000000001</v>
      </c>
    </row>
    <row r="138" spans="5:7">
      <c r="E138" s="344" t="s">
        <v>150</v>
      </c>
      <c r="F138" s="344" t="s">
        <v>99</v>
      </c>
      <c r="G138" s="345">
        <v>1.1000000000000001</v>
      </c>
    </row>
    <row r="139" spans="5:7">
      <c r="E139" s="344" t="s">
        <v>151</v>
      </c>
      <c r="F139" s="344" t="s">
        <v>99</v>
      </c>
      <c r="G139" s="345">
        <v>1.1000000000000001</v>
      </c>
    </row>
    <row r="140" spans="5:7">
      <c r="E140" s="344" t="s">
        <v>152</v>
      </c>
      <c r="F140" s="344" t="s">
        <v>99</v>
      </c>
      <c r="G140" s="345">
        <v>1.1000000000000001</v>
      </c>
    </row>
    <row r="141" spans="5:7">
      <c r="E141" s="344" t="s">
        <v>153</v>
      </c>
      <c r="F141" s="344" t="s">
        <v>99</v>
      </c>
      <c r="G141" s="345">
        <v>1.1000000000000001</v>
      </c>
    </row>
    <row r="142" spans="5:7">
      <c r="E142" s="344" t="s">
        <v>154</v>
      </c>
      <c r="F142" s="344" t="s">
        <v>100</v>
      </c>
      <c r="G142" s="345">
        <v>1.3</v>
      </c>
    </row>
  </sheetData>
  <mergeCells count="31">
    <mergeCell ref="R13:V13"/>
    <mergeCell ref="A3:B3"/>
    <mergeCell ref="R17:V17"/>
    <mergeCell ref="V2:V3"/>
    <mergeCell ref="U2:U3"/>
    <mergeCell ref="R2:R3"/>
    <mergeCell ref="T2:T3"/>
    <mergeCell ref="S2:S3"/>
    <mergeCell ref="E3:K3"/>
    <mergeCell ref="E8:I8"/>
    <mergeCell ref="A1:C1"/>
    <mergeCell ref="R1:V1"/>
    <mergeCell ref="E1:P1"/>
    <mergeCell ref="K59:K60"/>
    <mergeCell ref="J59:J60"/>
    <mergeCell ref="J37:J56"/>
    <mergeCell ref="K8:O8"/>
    <mergeCell ref="E4:G4"/>
    <mergeCell ref="E5:G5"/>
    <mergeCell ref="F59:F60"/>
    <mergeCell ref="E59:E60"/>
    <mergeCell ref="E58:K58"/>
    <mergeCell ref="P38:P56"/>
    <mergeCell ref="J4:K4"/>
    <mergeCell ref="J6:K6"/>
    <mergeCell ref="J5:K5"/>
    <mergeCell ref="E94:G94"/>
    <mergeCell ref="G59:H59"/>
    <mergeCell ref="I59:I60"/>
    <mergeCell ref="E61:E74"/>
    <mergeCell ref="E75:E92"/>
  </mergeCells>
  <phoneticPr fontId="18"/>
  <pageMargins left="0.7" right="0.7" top="0.75" bottom="0.75" header="0.3" footer="0.3"/>
  <pageSetup paperSize="8" scale="46" fitToHeight="0"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00FF"/>
    <pageSetUpPr fitToPage="1"/>
  </sheetPr>
  <dimension ref="A1:AL43"/>
  <sheetViews>
    <sheetView workbookViewId="0">
      <selection activeCell="R20" sqref="R20"/>
    </sheetView>
  </sheetViews>
  <sheetFormatPr defaultColWidth="13" defaultRowHeight="14.4"/>
  <cols>
    <col min="3" max="3" width="3.3984375" customWidth="1"/>
    <col min="5" max="5" width="14.5" bestFit="1" customWidth="1"/>
    <col min="7" max="7" width="3.5" customWidth="1"/>
    <col min="12" max="12" width="2.09765625" style="89" customWidth="1"/>
    <col min="13" max="13" width="7.69921875" customWidth="1"/>
    <col min="14" max="14" width="6.5" bestFit="1" customWidth="1"/>
    <col min="15" max="15" width="5.5" bestFit="1" customWidth="1"/>
    <col min="16" max="17" width="8.5" customWidth="1"/>
    <col min="18" max="18" width="10" bestFit="1" customWidth="1"/>
    <col min="19" max="21" width="8.5" customWidth="1"/>
    <col min="22" max="22" width="1.59765625" customWidth="1"/>
    <col min="23" max="23" width="12.3984375" customWidth="1"/>
    <col min="24" max="26" width="10.5" customWidth="1"/>
    <col min="27" max="28" width="16.09765625" customWidth="1"/>
    <col min="29" max="34" width="6.8984375" customWidth="1"/>
    <col min="35" max="36" width="19.59765625" customWidth="1"/>
    <col min="37" max="37" width="19.69921875" bestFit="1" customWidth="1"/>
    <col min="38" max="38" width="18.3984375" bestFit="1" customWidth="1"/>
  </cols>
  <sheetData>
    <row r="1" spans="1:38" ht="23.4">
      <c r="A1" s="607" t="s">
        <v>234</v>
      </c>
      <c r="B1" s="608"/>
      <c r="D1" s="594" t="s">
        <v>241</v>
      </c>
      <c r="E1" s="595"/>
      <c r="F1" s="596"/>
      <c r="H1" s="601" t="s">
        <v>744</v>
      </c>
      <c r="I1" s="602"/>
      <c r="J1" s="602"/>
      <c r="K1" s="602"/>
      <c r="L1" s="602"/>
      <c r="M1" s="602"/>
      <c r="N1" s="602"/>
      <c r="O1" s="602"/>
      <c r="P1" s="602"/>
      <c r="Q1" s="602"/>
      <c r="R1" s="602"/>
      <c r="S1" s="602"/>
      <c r="T1" s="602"/>
      <c r="U1" s="602"/>
      <c r="V1" s="602"/>
      <c r="W1" s="602"/>
      <c r="X1" s="602"/>
      <c r="Y1" s="602"/>
      <c r="Z1" s="602"/>
      <c r="AA1" s="602"/>
      <c r="AB1" s="602"/>
      <c r="AC1" s="602"/>
      <c r="AD1" s="602"/>
      <c r="AE1" s="602"/>
      <c r="AF1" s="602"/>
      <c r="AG1" s="602"/>
      <c r="AH1" s="602"/>
      <c r="AI1" s="602"/>
      <c r="AJ1" s="602"/>
      <c r="AK1" s="602"/>
      <c r="AL1" s="603"/>
    </row>
    <row r="2" spans="1:38" ht="22.2">
      <c r="A2" s="245" t="s">
        <v>4</v>
      </c>
      <c r="B2" s="245">
        <f>ツール!E17</f>
        <v>0</v>
      </c>
      <c r="D2" s="563" t="s">
        <v>1013</v>
      </c>
      <c r="E2" s="563"/>
      <c r="F2" s="3">
        <f>I4+J4*POWER(K4,(B2+3)/5-1)</f>
        <v>1.5566394900694114</v>
      </c>
      <c r="H2" s="597" t="s">
        <v>522</v>
      </c>
      <c r="I2" s="597"/>
      <c r="J2" s="597"/>
      <c r="K2" s="597"/>
      <c r="M2" s="599" t="s">
        <v>1014</v>
      </c>
      <c r="N2" s="599" t="s">
        <v>1015</v>
      </c>
      <c r="O2" s="599" t="s">
        <v>1016</v>
      </c>
      <c r="P2" s="599" t="s">
        <v>511</v>
      </c>
      <c r="Q2" s="599"/>
      <c r="R2" s="599"/>
      <c r="S2" s="599"/>
      <c r="T2" s="599"/>
      <c r="U2" s="599"/>
      <c r="W2" s="599" t="s">
        <v>512</v>
      </c>
      <c r="X2" s="599" t="s">
        <v>1015</v>
      </c>
      <c r="Y2" s="563" t="s">
        <v>1016</v>
      </c>
      <c r="Z2" s="563" t="s">
        <v>1012</v>
      </c>
      <c r="AA2" s="599" t="s">
        <v>513</v>
      </c>
      <c r="AB2" s="599"/>
      <c r="AC2" s="563" t="s">
        <v>514</v>
      </c>
      <c r="AD2" s="563"/>
      <c r="AE2" s="563"/>
      <c r="AF2" s="563"/>
      <c r="AG2" s="563"/>
      <c r="AH2" s="563"/>
      <c r="AI2" s="604" t="s">
        <v>515</v>
      </c>
      <c r="AJ2" s="605"/>
      <c r="AK2" s="606" t="s">
        <v>1021</v>
      </c>
      <c r="AL2" s="606"/>
    </row>
    <row r="3" spans="1:38" ht="28.8">
      <c r="D3" s="563" t="s">
        <v>1017</v>
      </c>
      <c r="E3" s="563"/>
      <c r="F3" s="3">
        <f>I5+J5*POWER(K5,(B2+3)/5-1)</f>
        <v>0.64843147263851852</v>
      </c>
      <c r="H3" s="139"/>
      <c r="I3" s="139" t="s">
        <v>251</v>
      </c>
      <c r="J3" s="139" t="s">
        <v>1018</v>
      </c>
      <c r="K3" s="139" t="s">
        <v>1019</v>
      </c>
      <c r="M3" s="599"/>
      <c r="N3" s="599"/>
      <c r="O3" s="599"/>
      <c r="P3" s="247">
        <v>10</v>
      </c>
      <c r="Q3" s="247">
        <v>12</v>
      </c>
      <c r="R3" s="247">
        <v>14</v>
      </c>
      <c r="S3" s="247">
        <v>16</v>
      </c>
      <c r="T3" s="247">
        <v>18</v>
      </c>
      <c r="U3" s="247">
        <v>20</v>
      </c>
      <c r="W3" s="599"/>
      <c r="X3" s="599"/>
      <c r="Y3" s="563"/>
      <c r="Z3" s="563"/>
      <c r="AA3" s="247" t="s">
        <v>516</v>
      </c>
      <c r="AB3" s="247" t="s">
        <v>517</v>
      </c>
      <c r="AC3" s="248">
        <v>10</v>
      </c>
      <c r="AD3" s="248">
        <v>12</v>
      </c>
      <c r="AE3" s="248">
        <v>14</v>
      </c>
      <c r="AF3" s="248">
        <v>16</v>
      </c>
      <c r="AG3" s="248">
        <v>18</v>
      </c>
      <c r="AH3" s="248">
        <v>20</v>
      </c>
      <c r="AI3" s="249" t="s">
        <v>518</v>
      </c>
      <c r="AJ3" s="249" t="s">
        <v>519</v>
      </c>
      <c r="AK3" s="285" t="s">
        <v>1023</v>
      </c>
      <c r="AL3" s="285" t="s">
        <v>1022</v>
      </c>
    </row>
    <row r="4" spans="1:38">
      <c r="D4" s="563" t="s">
        <v>1157</v>
      </c>
      <c r="E4" s="563"/>
      <c r="F4" s="3">
        <f>F2+F3*2/3</f>
        <v>1.9889271384950904</v>
      </c>
      <c r="H4" s="251" t="s">
        <v>1015</v>
      </c>
      <c r="I4" s="2">
        <v>22.182300000000001</v>
      </c>
      <c r="J4" s="2">
        <v>-19.004200000000001</v>
      </c>
      <c r="K4" s="2">
        <v>0.81489999999999996</v>
      </c>
      <c r="M4" s="248">
        <v>6</v>
      </c>
      <c r="N4" s="248">
        <v>3.94</v>
      </c>
      <c r="O4" s="248">
        <v>1.1499999999999999</v>
      </c>
      <c r="P4" s="3">
        <v>1.6</v>
      </c>
      <c r="Q4" s="3">
        <v>2.4700000000000002</v>
      </c>
      <c r="R4" s="3">
        <v>3.35</v>
      </c>
      <c r="S4" s="3">
        <v>4.2300000000000004</v>
      </c>
      <c r="T4" s="3">
        <v>5.0999999999999996</v>
      </c>
      <c r="U4" s="3">
        <v>5.98</v>
      </c>
      <c r="W4" s="139">
        <v>1</v>
      </c>
      <c r="X4" s="2">
        <f t="shared" ref="X4:X43" si="0">$I$4+$J$4*$K$4^(W4/5-1)</f>
        <v>-0.20316592179151272</v>
      </c>
      <c r="Y4" s="2">
        <f t="shared" ref="Y4:Y43" si="1">$I$5+$J$5*$K$5^(W4/5-1)</f>
        <v>0.22460677990262479</v>
      </c>
      <c r="Z4" s="2"/>
      <c r="AA4" s="2"/>
      <c r="AB4" s="2"/>
      <c r="AC4" s="2"/>
      <c r="AD4" s="2"/>
      <c r="AE4" s="2"/>
      <c r="AF4" s="2"/>
      <c r="AG4" s="2"/>
      <c r="AH4" s="2"/>
      <c r="AI4" s="2"/>
      <c r="AJ4" s="2"/>
      <c r="AK4" s="2"/>
      <c r="AL4" s="2"/>
    </row>
    <row r="5" spans="1:38">
      <c r="D5" s="563" t="s">
        <v>1158</v>
      </c>
      <c r="E5" s="563"/>
      <c r="F5" s="3">
        <f>F2-F3*2/3</f>
        <v>1.1243518416437324</v>
      </c>
      <c r="H5" s="251" t="s">
        <v>1016</v>
      </c>
      <c r="I5" s="2">
        <v>2.7850000000000001</v>
      </c>
      <c r="J5" s="2">
        <v>-1.7828999999999999</v>
      </c>
      <c r="K5" s="2">
        <v>0.6361</v>
      </c>
      <c r="L5" s="43"/>
      <c r="M5" s="248">
        <v>9</v>
      </c>
      <c r="N5" s="248">
        <v>6.05</v>
      </c>
      <c r="O5" s="248">
        <v>1.55</v>
      </c>
      <c r="P5" s="3">
        <v>2.87</v>
      </c>
      <c r="Q5" s="3">
        <v>4.0599999999999996</v>
      </c>
      <c r="R5" s="3">
        <v>5.25</v>
      </c>
      <c r="S5" s="3">
        <v>6.44</v>
      </c>
      <c r="T5" s="3">
        <v>7.63</v>
      </c>
      <c r="U5" s="3">
        <v>8.82</v>
      </c>
      <c r="W5" s="139">
        <v>2</v>
      </c>
      <c r="X5" s="2">
        <f t="shared" si="0"/>
        <v>0.6947449864696793</v>
      </c>
      <c r="Y5" s="2">
        <f t="shared" si="1"/>
        <v>0.44609949511960423</v>
      </c>
      <c r="Z5" s="2">
        <f t="shared" ref="Z5:Z43" si="2">Y5*2</f>
        <v>0.89219899023920846</v>
      </c>
      <c r="AA5" s="142">
        <f>X5-Z5/3</f>
        <v>0.3973453230566098</v>
      </c>
      <c r="AB5" s="142">
        <f>X5+Z5/3</f>
        <v>0.99214464988274886</v>
      </c>
      <c r="AC5" s="142">
        <f t="shared" ref="AC5:AH24" si="3">$X5+(AC$3-$X$33)*($Y5/$Y$33)</f>
        <v>-0.22395734896309194</v>
      </c>
      <c r="AD5" s="142">
        <f t="shared" si="3"/>
        <v>0.11928524980982214</v>
      </c>
      <c r="AE5" s="142">
        <f t="shared" si="3"/>
        <v>0.46252784858273621</v>
      </c>
      <c r="AF5" s="142">
        <f t="shared" si="3"/>
        <v>0.80577044735565029</v>
      </c>
      <c r="AG5" s="142">
        <f t="shared" si="3"/>
        <v>1.1490130461285644</v>
      </c>
      <c r="AH5" s="142">
        <f t="shared" si="3"/>
        <v>1.4922556449014786</v>
      </c>
      <c r="AI5" s="143">
        <f>X5-Y5*4/3</f>
        <v>9.9945659643540297E-2</v>
      </c>
      <c r="AJ5" s="143">
        <f>X5+Y5*4/3</f>
        <v>1.2895443132958184</v>
      </c>
      <c r="AK5" s="143">
        <f>(AI5/$X5)^3</f>
        <v>2.9772516989107572E-3</v>
      </c>
      <c r="AL5" s="143">
        <f>(AJ5/$X5)^3</f>
        <v>6.3948821823746922</v>
      </c>
    </row>
    <row r="6" spans="1:38">
      <c r="D6" s="600" t="s">
        <v>525</v>
      </c>
      <c r="E6" s="250" t="s">
        <v>1147</v>
      </c>
      <c r="F6" s="196" t="e">
        <f>I9*LN(B2)+J9</f>
        <v>#NUM!</v>
      </c>
      <c r="M6" s="248">
        <v>12</v>
      </c>
      <c r="N6" s="248">
        <v>7.91</v>
      </c>
      <c r="O6" s="248">
        <v>1.85</v>
      </c>
      <c r="P6" s="3">
        <v>4.13</v>
      </c>
      <c r="Q6" s="3">
        <v>5.55</v>
      </c>
      <c r="R6" s="3">
        <v>6.96</v>
      </c>
      <c r="S6" s="3">
        <v>8.3800000000000008</v>
      </c>
      <c r="T6" s="3">
        <v>9.7899999999999991</v>
      </c>
      <c r="U6" s="3">
        <v>11.21</v>
      </c>
      <c r="W6" s="139">
        <v>3</v>
      </c>
      <c r="X6" s="2">
        <f t="shared" si="0"/>
        <v>1.5566394900694114</v>
      </c>
      <c r="Y6" s="2">
        <f t="shared" si="1"/>
        <v>0.64843147263851852</v>
      </c>
      <c r="Z6" s="2">
        <f t="shared" si="2"/>
        <v>1.296862945277037</v>
      </c>
      <c r="AA6" s="142">
        <f t="shared" ref="AA6:AA43" si="4">X6-Z6/3</f>
        <v>1.1243518416437324</v>
      </c>
      <c r="AB6" s="142">
        <f t="shared" ref="AB6:AB43" si="5">X6+Z6/3</f>
        <v>1.9889271384950904</v>
      </c>
      <c r="AC6" s="142">
        <f t="shared" si="3"/>
        <v>0.22125239638664418</v>
      </c>
      <c r="AD6" s="142">
        <f t="shared" si="3"/>
        <v>0.72017540847146966</v>
      </c>
      <c r="AE6" s="142">
        <f t="shared" si="3"/>
        <v>1.2190984205562951</v>
      </c>
      <c r="AF6" s="142">
        <f t="shared" si="3"/>
        <v>1.7180214326411205</v>
      </c>
      <c r="AG6" s="142">
        <f t="shared" si="3"/>
        <v>2.2169444447259457</v>
      </c>
      <c r="AH6" s="142">
        <f t="shared" si="3"/>
        <v>2.7158674568107712</v>
      </c>
      <c r="AI6" s="143">
        <f t="shared" ref="AI6:AI43" si="6">X6-Y6*4/3</f>
        <v>0.69206419321805335</v>
      </c>
      <c r="AJ6" s="143">
        <f t="shared" ref="AJ6:AJ43" si="7">X6+Y6*4/3</f>
        <v>2.4212147869207694</v>
      </c>
      <c r="AK6" s="143">
        <f t="shared" ref="AK6:AK43" si="8">(AI6/$X6)^3</f>
        <v>8.7876956661150252E-2</v>
      </c>
      <c r="AL6" s="143">
        <f t="shared" ref="AL6:AL43" si="9">(AJ6/$X6)^3</f>
        <v>3.7630138902555426</v>
      </c>
    </row>
    <row r="7" spans="1:38" ht="19.2">
      <c r="D7" s="600"/>
      <c r="E7" s="250" t="s">
        <v>1150</v>
      </c>
      <c r="F7" s="196">
        <v>1</v>
      </c>
      <c r="H7" s="598" t="s">
        <v>523</v>
      </c>
      <c r="I7" s="598"/>
      <c r="J7" s="598"/>
      <c r="M7" s="248">
        <v>15</v>
      </c>
      <c r="N7" s="248">
        <v>9.56</v>
      </c>
      <c r="O7" s="248">
        <v>2.06</v>
      </c>
      <c r="P7" s="3">
        <v>5.34</v>
      </c>
      <c r="Q7" s="3">
        <v>6.92</v>
      </c>
      <c r="R7" s="3">
        <v>8.5</v>
      </c>
      <c r="S7" s="3">
        <v>10.08</v>
      </c>
      <c r="T7" s="3">
        <v>11.66</v>
      </c>
      <c r="U7" s="3">
        <v>13.24</v>
      </c>
      <c r="W7" s="139">
        <v>4</v>
      </c>
      <c r="X7" s="2">
        <f t="shared" si="0"/>
        <v>2.3839622550572983</v>
      </c>
      <c r="Y7" s="2">
        <f t="shared" si="1"/>
        <v>0.83326025622451771</v>
      </c>
      <c r="Z7" s="2">
        <f t="shared" si="2"/>
        <v>1.6665205124490354</v>
      </c>
      <c r="AA7" s="142">
        <f t="shared" si="4"/>
        <v>1.8284554175742866</v>
      </c>
      <c r="AB7" s="142">
        <f t="shared" si="5"/>
        <v>2.93946909254031</v>
      </c>
      <c r="AC7" s="142">
        <f t="shared" si="3"/>
        <v>0.66793667827082404</v>
      </c>
      <c r="AD7" s="142">
        <f t="shared" si="3"/>
        <v>1.309072610791898</v>
      </c>
      <c r="AE7" s="142">
        <f t="shared" si="3"/>
        <v>1.9502085433129719</v>
      </c>
      <c r="AF7" s="142">
        <f t="shared" si="3"/>
        <v>2.5913444758340458</v>
      </c>
      <c r="AG7" s="142">
        <f t="shared" si="3"/>
        <v>3.2324804083551197</v>
      </c>
      <c r="AH7" s="142">
        <f t="shared" si="3"/>
        <v>3.8736163408761937</v>
      </c>
      <c r="AI7" s="143">
        <f t="shared" si="6"/>
        <v>1.2729485800912748</v>
      </c>
      <c r="AJ7" s="143">
        <f t="shared" si="7"/>
        <v>3.4949759300233216</v>
      </c>
      <c r="AK7" s="143">
        <f t="shared" si="8"/>
        <v>0.15224199203782099</v>
      </c>
      <c r="AL7" s="143">
        <f t="shared" si="9"/>
        <v>3.1508987092169614</v>
      </c>
    </row>
    <row r="8" spans="1:38">
      <c r="D8" s="600"/>
      <c r="E8" s="250" t="s">
        <v>1151</v>
      </c>
      <c r="F8" s="196" t="e">
        <f>I10*LN(B2)+J10</f>
        <v>#NUM!</v>
      </c>
      <c r="H8" s="4"/>
      <c r="I8" s="175" t="s">
        <v>1020</v>
      </c>
      <c r="J8" s="175" t="s">
        <v>252</v>
      </c>
      <c r="M8" s="248">
        <v>18</v>
      </c>
      <c r="N8" s="248">
        <v>11.02</v>
      </c>
      <c r="O8" s="248">
        <v>2.23</v>
      </c>
      <c r="P8" s="3">
        <v>6.46</v>
      </c>
      <c r="Q8" s="3">
        <v>8.17</v>
      </c>
      <c r="R8" s="3">
        <v>9.8699999999999992</v>
      </c>
      <c r="S8" s="3">
        <v>11.58</v>
      </c>
      <c r="T8" s="3">
        <v>13.28</v>
      </c>
      <c r="U8" s="3">
        <v>14.99</v>
      </c>
      <c r="W8" s="139">
        <v>5</v>
      </c>
      <c r="X8" s="2">
        <f t="shared" si="0"/>
        <v>3.1781000000000006</v>
      </c>
      <c r="Y8" s="2">
        <f t="shared" si="1"/>
        <v>1.0021000000000002</v>
      </c>
      <c r="Z8" s="2">
        <f t="shared" si="2"/>
        <v>2.0042000000000004</v>
      </c>
      <c r="AA8" s="142">
        <f t="shared" si="4"/>
        <v>2.5100333333333338</v>
      </c>
      <c r="AB8" s="142">
        <f t="shared" si="5"/>
        <v>3.8461666666666674</v>
      </c>
      <c r="AC8" s="142">
        <f t="shared" si="3"/>
        <v>1.1143639491659849</v>
      </c>
      <c r="AD8" s="142">
        <f t="shared" si="3"/>
        <v>1.885410345750937</v>
      </c>
      <c r="AE8" s="142">
        <f t="shared" si="3"/>
        <v>2.6564567423358891</v>
      </c>
      <c r="AF8" s="142">
        <f t="shared" si="3"/>
        <v>3.4275031389208412</v>
      </c>
      <c r="AG8" s="142">
        <f t="shared" si="3"/>
        <v>4.1985495355057934</v>
      </c>
      <c r="AH8" s="142">
        <f t="shared" si="3"/>
        <v>4.9695959320907459</v>
      </c>
      <c r="AI8" s="143">
        <f t="shared" si="6"/>
        <v>1.841966666666667</v>
      </c>
      <c r="AJ8" s="143">
        <f t="shared" si="7"/>
        <v>4.5142333333333342</v>
      </c>
      <c r="AK8" s="143">
        <f t="shared" si="8"/>
        <v>0.19468954273825786</v>
      </c>
      <c r="AL8" s="143">
        <f t="shared" si="9"/>
        <v>2.8658228093720197</v>
      </c>
    </row>
    <row r="9" spans="1:38">
      <c r="H9" s="245" t="s">
        <v>1154</v>
      </c>
      <c r="I9" s="2">
        <v>-0.60099999999999998</v>
      </c>
      <c r="J9" s="2">
        <v>3.8532999999999999</v>
      </c>
      <c r="M9" s="248">
        <v>21</v>
      </c>
      <c r="N9" s="248">
        <v>12.31</v>
      </c>
      <c r="O9" s="248">
        <v>2.36</v>
      </c>
      <c r="P9" s="3">
        <v>7.49</v>
      </c>
      <c r="Q9" s="3">
        <v>9.2899999999999991</v>
      </c>
      <c r="R9" s="3">
        <v>11.1</v>
      </c>
      <c r="S9" s="3">
        <v>12.9</v>
      </c>
      <c r="T9" s="3">
        <v>14.7</v>
      </c>
      <c r="U9" s="3">
        <v>16.510000000000002</v>
      </c>
      <c r="W9" s="139">
        <v>6</v>
      </c>
      <c r="X9" s="2">
        <f t="shared" si="0"/>
        <v>3.940383820332098</v>
      </c>
      <c r="Y9" s="2">
        <f t="shared" si="1"/>
        <v>1.1563338726960597</v>
      </c>
      <c r="Z9" s="2">
        <f t="shared" si="2"/>
        <v>2.3126677453921194</v>
      </c>
      <c r="AA9" s="142">
        <f t="shared" si="4"/>
        <v>3.1694945718680581</v>
      </c>
      <c r="AB9" s="142">
        <f t="shared" si="5"/>
        <v>4.7112730687961379</v>
      </c>
      <c r="AC9" s="142">
        <f t="shared" si="3"/>
        <v>1.5590167912098858</v>
      </c>
      <c r="AD9" s="142">
        <f t="shared" si="3"/>
        <v>2.4487354478224184</v>
      </c>
      <c r="AE9" s="142">
        <f t="shared" si="3"/>
        <v>3.3384541044349518</v>
      </c>
      <c r="AF9" s="142">
        <f t="shared" si="3"/>
        <v>4.2281727610474844</v>
      </c>
      <c r="AG9" s="142">
        <f t="shared" si="3"/>
        <v>5.1178914176600179</v>
      </c>
      <c r="AH9" s="142">
        <f t="shared" si="3"/>
        <v>6.0076100742725504</v>
      </c>
      <c r="AI9" s="143">
        <f t="shared" si="6"/>
        <v>2.3986053234040181</v>
      </c>
      <c r="AJ9" s="143">
        <f t="shared" si="7"/>
        <v>5.4821623172601779</v>
      </c>
      <c r="AK9" s="143">
        <f t="shared" si="8"/>
        <v>0.22555933120246024</v>
      </c>
      <c r="AL9" s="143">
        <f t="shared" si="9"/>
        <v>2.6930231631665822</v>
      </c>
    </row>
    <row r="10" spans="1:38">
      <c r="H10" s="245" t="s">
        <v>1155</v>
      </c>
      <c r="I10" s="2">
        <v>0.15229999999999999</v>
      </c>
      <c r="J10" s="2">
        <v>5.33E-2</v>
      </c>
      <c r="M10" s="248">
        <v>24</v>
      </c>
      <c r="N10" s="248">
        <v>13.45</v>
      </c>
      <c r="O10" s="248">
        <v>2.46</v>
      </c>
      <c r="P10" s="3">
        <v>8.42</v>
      </c>
      <c r="Q10" s="3">
        <v>10.3</v>
      </c>
      <c r="R10" s="3">
        <v>12.18</v>
      </c>
      <c r="S10" s="3">
        <v>14.06</v>
      </c>
      <c r="T10" s="3">
        <v>15.95</v>
      </c>
      <c r="U10" s="3">
        <v>17.829999999999998</v>
      </c>
      <c r="W10" s="139">
        <v>7</v>
      </c>
      <c r="X10" s="2">
        <f t="shared" si="0"/>
        <v>4.6720914194741425</v>
      </c>
      <c r="Y10" s="2">
        <f t="shared" si="1"/>
        <v>1.2972253888455803</v>
      </c>
      <c r="Z10" s="2">
        <f t="shared" si="2"/>
        <v>2.5944507776911605</v>
      </c>
      <c r="AA10" s="142">
        <f t="shared" si="4"/>
        <v>3.807274493577089</v>
      </c>
      <c r="AB10" s="142">
        <f t="shared" si="5"/>
        <v>5.536908345371196</v>
      </c>
      <c r="AC10" s="142">
        <f t="shared" si="3"/>
        <v>2.0005708117326022</v>
      </c>
      <c r="AD10" s="142">
        <f t="shared" si="3"/>
        <v>2.9986957110718873</v>
      </c>
      <c r="AE10" s="142">
        <f t="shared" si="3"/>
        <v>3.9968206104111728</v>
      </c>
      <c r="AF10" s="142">
        <f t="shared" si="3"/>
        <v>4.9949455097504583</v>
      </c>
      <c r="AG10" s="142">
        <f t="shared" si="3"/>
        <v>5.9930704090897429</v>
      </c>
      <c r="AH10" s="142">
        <f t="shared" si="3"/>
        <v>6.9911953084290284</v>
      </c>
      <c r="AI10" s="143">
        <f t="shared" si="6"/>
        <v>2.9424575676800355</v>
      </c>
      <c r="AJ10" s="143">
        <f t="shared" si="7"/>
        <v>6.4017252712682495</v>
      </c>
      <c r="AK10" s="143">
        <f t="shared" si="8"/>
        <v>0.24980241341943107</v>
      </c>
      <c r="AL10" s="143">
        <f t="shared" si="9"/>
        <v>2.5725101760988283</v>
      </c>
    </row>
    <row r="11" spans="1:38">
      <c r="M11" s="248">
        <v>27</v>
      </c>
      <c r="N11" s="248">
        <v>14.46</v>
      </c>
      <c r="O11" s="248">
        <v>2.54</v>
      </c>
      <c r="P11" s="3">
        <v>9.25</v>
      </c>
      <c r="Q11" s="3">
        <v>11.2</v>
      </c>
      <c r="R11" s="3">
        <v>13.15</v>
      </c>
      <c r="S11" s="3">
        <v>15.09</v>
      </c>
      <c r="T11" s="3">
        <v>17.04</v>
      </c>
      <c r="U11" s="3">
        <v>18.98</v>
      </c>
      <c r="W11" s="139">
        <v>8</v>
      </c>
      <c r="X11" s="2">
        <f t="shared" si="0"/>
        <v>5.3744492504575661</v>
      </c>
      <c r="Y11" s="2">
        <f t="shared" si="1"/>
        <v>1.4259287597453616</v>
      </c>
      <c r="Z11" s="2">
        <f t="shared" si="2"/>
        <v>2.8518575194907232</v>
      </c>
      <c r="AA11" s="142">
        <f t="shared" si="4"/>
        <v>4.4238300772939914</v>
      </c>
      <c r="AB11" s="142">
        <f t="shared" si="5"/>
        <v>6.3250684236211407</v>
      </c>
      <c r="AC11" s="142">
        <f t="shared" si="3"/>
        <v>2.4378754679932033</v>
      </c>
      <c r="AD11" s="142">
        <f t="shared" si="3"/>
        <v>3.5350286782401952</v>
      </c>
      <c r="AE11" s="142">
        <f t="shared" si="3"/>
        <v>4.632181888487187</v>
      </c>
      <c r="AF11" s="142">
        <f t="shared" si="3"/>
        <v>5.7293350987341798</v>
      </c>
      <c r="AG11" s="142">
        <f t="shared" si="3"/>
        <v>6.8264883089811716</v>
      </c>
      <c r="AH11" s="142">
        <f t="shared" si="3"/>
        <v>7.9236415192281635</v>
      </c>
      <c r="AI11" s="143">
        <f t="shared" si="6"/>
        <v>3.4732109041304176</v>
      </c>
      <c r="AJ11" s="143">
        <f t="shared" si="7"/>
        <v>7.2756875967847146</v>
      </c>
      <c r="AK11" s="143">
        <f t="shared" si="8"/>
        <v>0.26989296754344194</v>
      </c>
      <c r="AL11" s="143">
        <f t="shared" si="9"/>
        <v>2.4809626734672023</v>
      </c>
    </row>
    <row r="12" spans="1:38">
      <c r="A12" s="40" t="s">
        <v>996</v>
      </c>
      <c r="B12" s="40"/>
      <c r="C12" s="40"/>
      <c r="D12" s="40"/>
      <c r="E12" s="40"/>
      <c r="F12" s="40"/>
      <c r="G12" s="40"/>
      <c r="H12" s="40"/>
      <c r="I12" s="40"/>
      <c r="J12" s="120"/>
      <c r="K12" s="26"/>
      <c r="M12" s="248">
        <v>30</v>
      </c>
      <c r="N12" s="248">
        <v>15.35</v>
      </c>
      <c r="O12" s="248">
        <v>2.61</v>
      </c>
      <c r="P12" s="3">
        <v>10</v>
      </c>
      <c r="Q12" s="3">
        <v>12</v>
      </c>
      <c r="R12" s="3">
        <v>14</v>
      </c>
      <c r="S12" s="3">
        <v>16</v>
      </c>
      <c r="T12" s="3">
        <v>18</v>
      </c>
      <c r="U12" s="3">
        <v>20</v>
      </c>
      <c r="W12" s="139">
        <v>9</v>
      </c>
      <c r="X12" s="2">
        <f t="shared" si="0"/>
        <v>6.0486345716461933</v>
      </c>
      <c r="Y12" s="2">
        <f t="shared" si="1"/>
        <v>1.5434983489844158</v>
      </c>
      <c r="Z12" s="2">
        <f t="shared" si="2"/>
        <v>3.0869966979688317</v>
      </c>
      <c r="AA12" s="142">
        <f t="shared" si="4"/>
        <v>5.0196356723232496</v>
      </c>
      <c r="AB12" s="142">
        <f t="shared" si="5"/>
        <v>7.0776334709691371</v>
      </c>
      <c r="AC12" s="142">
        <f t="shared" si="3"/>
        <v>2.8699366500795618</v>
      </c>
      <c r="AD12" s="142">
        <f t="shared" si="3"/>
        <v>4.0575514990160517</v>
      </c>
      <c r="AE12" s="142">
        <f t="shared" si="3"/>
        <v>5.2451663479525417</v>
      </c>
      <c r="AF12" s="142">
        <f t="shared" si="3"/>
        <v>6.4327811968890316</v>
      </c>
      <c r="AG12" s="142">
        <f t="shared" si="3"/>
        <v>7.6203960458255215</v>
      </c>
      <c r="AH12" s="142">
        <f t="shared" si="3"/>
        <v>8.8080108947620115</v>
      </c>
      <c r="AI12" s="143">
        <f t="shared" si="6"/>
        <v>3.9906367730003054</v>
      </c>
      <c r="AJ12" s="143">
        <f t="shared" si="7"/>
        <v>8.1066323702920808</v>
      </c>
      <c r="AK12" s="143">
        <f t="shared" si="8"/>
        <v>0.2871802428140513</v>
      </c>
      <c r="AL12" s="143">
        <f t="shared" si="9"/>
        <v>2.4074063039847489</v>
      </c>
    </row>
    <row r="13" spans="1:38">
      <c r="A13" s="40" t="s">
        <v>997</v>
      </c>
      <c r="B13" s="40"/>
      <c r="C13" s="40"/>
      <c r="D13" s="40"/>
      <c r="E13" s="40"/>
      <c r="F13" s="40"/>
      <c r="G13" s="40"/>
      <c r="H13" s="40"/>
      <c r="I13" s="40"/>
      <c r="J13" s="120"/>
      <c r="K13" s="26"/>
      <c r="M13" s="25" t="s">
        <v>520</v>
      </c>
      <c r="N13" s="25"/>
      <c r="O13" s="25"/>
      <c r="P13" s="25"/>
      <c r="Q13" s="25"/>
      <c r="R13" s="25"/>
      <c r="S13" s="25"/>
      <c r="T13" s="25"/>
      <c r="U13" s="25"/>
      <c r="W13" s="139">
        <v>10</v>
      </c>
      <c r="X13" s="2">
        <f t="shared" si="0"/>
        <v>6.6957774200000024</v>
      </c>
      <c r="Y13" s="2">
        <f t="shared" si="1"/>
        <v>1.6508973100000002</v>
      </c>
      <c r="Z13" s="2">
        <f t="shared" si="2"/>
        <v>3.3017946200000003</v>
      </c>
      <c r="AA13" s="142">
        <f t="shared" si="4"/>
        <v>5.5951792133333358</v>
      </c>
      <c r="AB13" s="142">
        <f t="shared" si="5"/>
        <v>7.7963756266666691</v>
      </c>
      <c r="AC13" s="142">
        <f t="shared" si="3"/>
        <v>3.2959008658917304</v>
      </c>
      <c r="AD13" s="142">
        <f t="shared" si="3"/>
        <v>4.5661517610192526</v>
      </c>
      <c r="AE13" s="142">
        <f t="shared" si="3"/>
        <v>5.8364026561467757</v>
      </c>
      <c r="AF13" s="142">
        <f t="shared" si="3"/>
        <v>7.1066535512742988</v>
      </c>
      <c r="AG13" s="142">
        <f t="shared" si="3"/>
        <v>8.3769044464018219</v>
      </c>
      <c r="AH13" s="142">
        <f t="shared" si="3"/>
        <v>9.6471553415293432</v>
      </c>
      <c r="AI13" s="143">
        <f t="shared" si="6"/>
        <v>4.4945810066666692</v>
      </c>
      <c r="AJ13" s="143">
        <f t="shared" si="7"/>
        <v>8.8969738333333357</v>
      </c>
      <c r="AK13" s="143">
        <f t="shared" si="8"/>
        <v>0.30245767624353992</v>
      </c>
      <c r="AL13" s="143">
        <f t="shared" si="9"/>
        <v>2.3459778882635041</v>
      </c>
    </row>
    <row r="14" spans="1:38">
      <c r="A14" s="40" t="s">
        <v>998</v>
      </c>
      <c r="B14" s="40"/>
      <c r="C14" s="40"/>
      <c r="D14" s="40"/>
      <c r="E14" s="40"/>
      <c r="F14" s="40"/>
      <c r="G14" s="40"/>
      <c r="H14" s="40"/>
      <c r="I14" s="40"/>
      <c r="J14" s="120"/>
      <c r="K14" s="26"/>
      <c r="W14" s="139">
        <v>11</v>
      </c>
      <c r="X14" s="2">
        <f t="shared" si="0"/>
        <v>7.3169625051886307</v>
      </c>
      <c r="Y14" s="2">
        <f t="shared" si="1"/>
        <v>1.7490054764219638</v>
      </c>
      <c r="Z14" s="2">
        <f t="shared" si="2"/>
        <v>3.4980109528439276</v>
      </c>
      <c r="AA14" s="142">
        <f t="shared" si="4"/>
        <v>6.1509588542406544</v>
      </c>
      <c r="AB14" s="142">
        <f t="shared" si="5"/>
        <v>8.482966156136607</v>
      </c>
      <c r="AC14" s="142">
        <f t="shared" si="3"/>
        <v>3.7150408857912365</v>
      </c>
      <c r="AD14" s="142">
        <f t="shared" si="3"/>
        <v>5.0607792055223033</v>
      </c>
      <c r="AE14" s="142">
        <f t="shared" si="3"/>
        <v>6.4065175252533706</v>
      </c>
      <c r="AF14" s="142">
        <f t="shared" si="3"/>
        <v>7.7522558449844379</v>
      </c>
      <c r="AG14" s="142">
        <f t="shared" si="3"/>
        <v>9.0979941647155051</v>
      </c>
      <c r="AH14" s="142">
        <f t="shared" si="3"/>
        <v>10.443732484446571</v>
      </c>
      <c r="AI14" s="143">
        <f t="shared" si="6"/>
        <v>4.9849552032926789</v>
      </c>
      <c r="AJ14" s="143">
        <f t="shared" si="7"/>
        <v>9.6489698070845833</v>
      </c>
      <c r="AK14" s="143">
        <f t="shared" si="8"/>
        <v>0.31622142478915516</v>
      </c>
      <c r="AL14" s="143">
        <f t="shared" si="9"/>
        <v>2.2932444633700197</v>
      </c>
    </row>
    <row r="15" spans="1:38">
      <c r="A15" s="40" t="s">
        <v>999</v>
      </c>
      <c r="B15" s="40"/>
      <c r="C15" s="40"/>
      <c r="D15" s="40"/>
      <c r="E15" s="40"/>
      <c r="F15" s="40"/>
      <c r="G15" s="40"/>
      <c r="H15" s="40"/>
      <c r="I15" s="40"/>
      <c r="J15" s="120"/>
      <c r="K15" s="26"/>
      <c r="P15" s="246">
        <v>10</v>
      </c>
      <c r="Q15" s="246">
        <v>12</v>
      </c>
      <c r="R15" s="246">
        <v>14</v>
      </c>
      <c r="S15" s="246">
        <v>16</v>
      </c>
      <c r="T15" s="246">
        <v>18</v>
      </c>
      <c r="U15" s="246">
        <v>20</v>
      </c>
      <c r="W15" s="139">
        <v>12</v>
      </c>
      <c r="X15" s="2">
        <f t="shared" si="0"/>
        <v>7.9132310277294788</v>
      </c>
      <c r="Y15" s="2">
        <f t="shared" si="1"/>
        <v>1.8386265698446738</v>
      </c>
      <c r="Z15" s="2">
        <f t="shared" si="2"/>
        <v>3.6772531396893475</v>
      </c>
      <c r="AA15" s="142">
        <f t="shared" si="4"/>
        <v>6.687479981166363</v>
      </c>
      <c r="AB15" s="142">
        <f t="shared" si="5"/>
        <v>9.1389820742925956</v>
      </c>
      <c r="AC15" s="142">
        <f t="shared" si="3"/>
        <v>4.1267427169723305</v>
      </c>
      <c r="AD15" s="142">
        <f t="shared" si="3"/>
        <v>5.5414382477018842</v>
      </c>
      <c r="AE15" s="142">
        <f t="shared" si="3"/>
        <v>6.9561337784314388</v>
      </c>
      <c r="AF15" s="142">
        <f t="shared" si="3"/>
        <v>8.3708293091609924</v>
      </c>
      <c r="AG15" s="142">
        <f t="shared" si="3"/>
        <v>9.785524839890547</v>
      </c>
      <c r="AH15" s="142">
        <f t="shared" si="3"/>
        <v>11.200220370620102</v>
      </c>
      <c r="AI15" s="143">
        <f t="shared" si="6"/>
        <v>5.4617289346032472</v>
      </c>
      <c r="AJ15" s="143">
        <f t="shared" si="7"/>
        <v>10.364733120855711</v>
      </c>
      <c r="AK15" s="143">
        <f t="shared" si="8"/>
        <v>0.32879779120957064</v>
      </c>
      <c r="AL15" s="143">
        <f t="shared" si="9"/>
        <v>2.2470505190159868</v>
      </c>
    </row>
    <row r="16" spans="1:38">
      <c r="A16" s="40" t="s">
        <v>1156</v>
      </c>
      <c r="B16" s="40"/>
      <c r="C16" s="40"/>
      <c r="D16" s="40"/>
      <c r="E16" s="40"/>
      <c r="F16" s="40"/>
      <c r="G16" s="40"/>
      <c r="H16" s="40"/>
      <c r="I16" s="40"/>
      <c r="J16" s="120"/>
      <c r="K16" s="26"/>
      <c r="P16" s="144">
        <f t="shared" ref="P16:U24" si="10">$N4+(P$3-$N$12)*($O4/$O$12)</f>
        <v>1.5827203065134099</v>
      </c>
      <c r="Q16" s="144">
        <f t="shared" si="10"/>
        <v>2.4639463601532565</v>
      </c>
      <c r="R16" s="144">
        <f t="shared" si="10"/>
        <v>3.3451724137931036</v>
      </c>
      <c r="S16" s="144">
        <f t="shared" si="10"/>
        <v>4.2263984674329507</v>
      </c>
      <c r="T16" s="144">
        <f t="shared" si="10"/>
        <v>5.1076245210727969</v>
      </c>
      <c r="U16" s="144">
        <f t="shared" si="10"/>
        <v>5.9888505747126439</v>
      </c>
      <c r="W16" s="139">
        <v>13</v>
      </c>
      <c r="X16" s="2">
        <f t="shared" si="0"/>
        <v>8.4855824241978706</v>
      </c>
      <c r="Y16" s="2">
        <f t="shared" si="1"/>
        <v>1.9204947840740245</v>
      </c>
      <c r="Z16" s="2">
        <f t="shared" si="2"/>
        <v>3.840989568148049</v>
      </c>
      <c r="AA16" s="142">
        <f t="shared" si="4"/>
        <v>7.2052525681485209</v>
      </c>
      <c r="AB16" s="142">
        <f t="shared" si="5"/>
        <v>9.7659122802472211</v>
      </c>
      <c r="AC16" s="142">
        <f t="shared" si="3"/>
        <v>4.5304937889995349</v>
      </c>
      <c r="AD16" s="142">
        <f t="shared" si="3"/>
        <v>6.0081812282974809</v>
      </c>
      <c r="AE16" s="142">
        <f t="shared" si="3"/>
        <v>7.4858686675954278</v>
      </c>
      <c r="AF16" s="142">
        <f t="shared" si="3"/>
        <v>8.9635561068933729</v>
      </c>
      <c r="AG16" s="142">
        <f t="shared" si="3"/>
        <v>10.44124354619132</v>
      </c>
      <c r="AH16" s="142">
        <f t="shared" si="3"/>
        <v>11.918930985489267</v>
      </c>
      <c r="AI16" s="143">
        <f t="shared" si="6"/>
        <v>5.9249227120991712</v>
      </c>
      <c r="AJ16" s="143">
        <f t="shared" si="7"/>
        <v>11.04624213629657</v>
      </c>
      <c r="AK16" s="143">
        <f t="shared" si="8"/>
        <v>0.34041061932049482</v>
      </c>
      <c r="AL16" s="143">
        <f t="shared" si="9"/>
        <v>2.2059654569167324</v>
      </c>
    </row>
    <row r="17" spans="1:38">
      <c r="A17" s="40" t="s">
        <v>1000</v>
      </c>
      <c r="B17" s="40"/>
      <c r="C17" s="40"/>
      <c r="D17" s="40"/>
      <c r="E17" s="40"/>
      <c r="F17" s="40"/>
      <c r="G17" s="40"/>
      <c r="H17" s="40"/>
      <c r="I17" s="40"/>
      <c r="J17" s="120"/>
      <c r="K17" s="26"/>
      <c r="P17" s="144">
        <f t="shared" si="10"/>
        <v>2.8727969348659004</v>
      </c>
      <c r="Q17" s="144">
        <f t="shared" si="10"/>
        <v>4.0605363984674332</v>
      </c>
      <c r="R17" s="144">
        <f t="shared" si="10"/>
        <v>5.2482758620689651</v>
      </c>
      <c r="S17" s="144">
        <f t="shared" si="10"/>
        <v>6.4360153256704979</v>
      </c>
      <c r="T17" s="144">
        <f t="shared" si="10"/>
        <v>7.6237547892720308</v>
      </c>
      <c r="U17" s="144">
        <f t="shared" si="10"/>
        <v>8.8114942528735636</v>
      </c>
      <c r="W17" s="139">
        <v>14</v>
      </c>
      <c r="X17" s="2">
        <f t="shared" si="0"/>
        <v>9.0349760424344847</v>
      </c>
      <c r="Y17" s="2">
        <f t="shared" si="1"/>
        <v>1.995280799788987</v>
      </c>
      <c r="Z17" s="2">
        <f t="shared" si="2"/>
        <v>3.990561599577974</v>
      </c>
      <c r="AA17" s="142">
        <f t="shared" si="4"/>
        <v>7.7047888425751605</v>
      </c>
      <c r="AB17" s="142">
        <f t="shared" si="5"/>
        <v>10.365163242293809</v>
      </c>
      <c r="AC17" s="142">
        <f t="shared" si="3"/>
        <v>4.9258722423531962</v>
      </c>
      <c r="AD17" s="142">
        <f t="shared" si="3"/>
        <v>6.4611023300215322</v>
      </c>
      <c r="AE17" s="142">
        <f t="shared" si="3"/>
        <v>7.9963324176898674</v>
      </c>
      <c r="AF17" s="142">
        <f t="shared" si="3"/>
        <v>9.5315625053582043</v>
      </c>
      <c r="AG17" s="142">
        <f t="shared" si="3"/>
        <v>11.066792593026539</v>
      </c>
      <c r="AH17" s="142">
        <f t="shared" si="3"/>
        <v>12.602022680694875</v>
      </c>
      <c r="AI17" s="143">
        <f t="shared" si="6"/>
        <v>6.3746016427158354</v>
      </c>
      <c r="AJ17" s="143">
        <f t="shared" si="7"/>
        <v>11.695350442153135</v>
      </c>
      <c r="AK17" s="143">
        <f t="shared" si="8"/>
        <v>0.35121910757099717</v>
      </c>
      <c r="AL17" s="143">
        <f t="shared" si="9"/>
        <v>2.1689957598116645</v>
      </c>
    </row>
    <row r="18" spans="1:38">
      <c r="A18" s="40" t="s">
        <v>1115</v>
      </c>
      <c r="B18" s="40"/>
      <c r="C18" s="40"/>
      <c r="D18" s="40"/>
      <c r="E18" s="40"/>
      <c r="F18" s="40"/>
      <c r="G18" s="40"/>
      <c r="H18" s="40"/>
      <c r="I18" s="40"/>
      <c r="J18" s="120"/>
      <c r="K18" s="26"/>
      <c r="P18" s="144">
        <f t="shared" si="10"/>
        <v>4.1178544061302684</v>
      </c>
      <c r="Q18" s="144">
        <f t="shared" si="10"/>
        <v>5.5354789272030658</v>
      </c>
      <c r="R18" s="144">
        <f t="shared" si="10"/>
        <v>6.9531034482758622</v>
      </c>
      <c r="S18" s="144">
        <f t="shared" si="10"/>
        <v>8.3707279693486587</v>
      </c>
      <c r="T18" s="144">
        <f t="shared" si="10"/>
        <v>9.7883524904214561</v>
      </c>
      <c r="U18" s="144">
        <f t="shared" si="10"/>
        <v>11.205977011494253</v>
      </c>
      <c r="W18" s="139">
        <v>15</v>
      </c>
      <c r="X18" s="2">
        <f t="shared" si="0"/>
        <v>9.5623327495580011</v>
      </c>
      <c r="Y18" s="2">
        <f t="shared" si="1"/>
        <v>2.0635972788910002</v>
      </c>
      <c r="Z18" s="2">
        <f t="shared" si="2"/>
        <v>4.1271945577820004</v>
      </c>
      <c r="AA18" s="142">
        <f t="shared" si="4"/>
        <v>8.1866012302973346</v>
      </c>
      <c r="AB18" s="142">
        <f t="shared" si="5"/>
        <v>10.938064268818668</v>
      </c>
      <c r="AC18" s="142">
        <f t="shared" si="3"/>
        <v>5.3125372213169744</v>
      </c>
      <c r="AD18" s="142">
        <f t="shared" si="3"/>
        <v>6.9003320979674267</v>
      </c>
      <c r="AE18" s="142">
        <f t="shared" si="3"/>
        <v>8.4881269746178774</v>
      </c>
      <c r="AF18" s="142">
        <f t="shared" si="3"/>
        <v>10.07592185126833</v>
      </c>
      <c r="AG18" s="142">
        <f t="shared" si="3"/>
        <v>11.663716727918782</v>
      </c>
      <c r="AH18" s="142">
        <f t="shared" si="3"/>
        <v>13.251511604569234</v>
      </c>
      <c r="AI18" s="143">
        <f t="shared" si="6"/>
        <v>6.8108697110366681</v>
      </c>
      <c r="AJ18" s="143">
        <f t="shared" si="7"/>
        <v>12.313795788079334</v>
      </c>
      <c r="AK18" s="143">
        <f t="shared" si="8"/>
        <v>0.36134010045278003</v>
      </c>
      <c r="AL18" s="143">
        <f t="shared" si="9"/>
        <v>2.1354248110622014</v>
      </c>
    </row>
    <row r="19" spans="1:38">
      <c r="P19" s="144">
        <f t="shared" si="10"/>
        <v>5.3373946360153255</v>
      </c>
      <c r="Q19" s="144">
        <f t="shared" si="10"/>
        <v>6.9159386973180084</v>
      </c>
      <c r="R19" s="144">
        <f t="shared" si="10"/>
        <v>8.4944827586206912</v>
      </c>
      <c r="S19" s="144">
        <f t="shared" si="10"/>
        <v>10.073026819923372</v>
      </c>
      <c r="T19" s="144">
        <f t="shared" si="10"/>
        <v>11.651570881226055</v>
      </c>
      <c r="U19" s="144">
        <f t="shared" si="10"/>
        <v>13.230114942528736</v>
      </c>
      <c r="W19" s="139">
        <v>16</v>
      </c>
      <c r="X19" s="2">
        <f t="shared" si="0"/>
        <v>10.068536475478215</v>
      </c>
      <c r="Y19" s="2">
        <f t="shared" si="1"/>
        <v>2.126003883552011</v>
      </c>
      <c r="Z19" s="2">
        <f t="shared" si="2"/>
        <v>4.252007767104022</v>
      </c>
      <c r="AA19" s="142">
        <f t="shared" si="4"/>
        <v>8.6512005531102076</v>
      </c>
      <c r="AB19" s="142">
        <f t="shared" si="5"/>
        <v>11.485872397846222</v>
      </c>
      <c r="AC19" s="142">
        <f t="shared" si="3"/>
        <v>5.6902200812067782</v>
      </c>
      <c r="AD19" s="142">
        <f t="shared" si="3"/>
        <v>7.3260325086475451</v>
      </c>
      <c r="AE19" s="142">
        <f t="shared" si="3"/>
        <v>8.9618449360883101</v>
      </c>
      <c r="AF19" s="142">
        <f t="shared" si="3"/>
        <v>10.597657363529077</v>
      </c>
      <c r="AG19" s="142">
        <f t="shared" si="3"/>
        <v>12.233469790969844</v>
      </c>
      <c r="AH19" s="142">
        <f t="shared" si="3"/>
        <v>13.869282218410609</v>
      </c>
      <c r="AI19" s="143">
        <f t="shared" si="6"/>
        <v>7.2338646307422003</v>
      </c>
      <c r="AJ19" s="143">
        <f t="shared" si="7"/>
        <v>12.90320832021423</v>
      </c>
      <c r="AK19" s="143">
        <f t="shared" si="8"/>
        <v>0.37086178910861928</v>
      </c>
      <c r="AL19" s="143">
        <f t="shared" si="9"/>
        <v>2.1047188160325874</v>
      </c>
    </row>
    <row r="20" spans="1:38">
      <c r="P20" s="144">
        <f t="shared" si="10"/>
        <v>6.4489272030651339</v>
      </c>
      <c r="Q20" s="144">
        <f t="shared" si="10"/>
        <v>8.1577394636015335</v>
      </c>
      <c r="R20" s="144">
        <f t="shared" si="10"/>
        <v>9.8665517241379312</v>
      </c>
      <c r="S20" s="144">
        <f t="shared" si="10"/>
        <v>11.575363984674329</v>
      </c>
      <c r="T20" s="144">
        <f t="shared" si="10"/>
        <v>13.284176245210727</v>
      </c>
      <c r="U20" s="144">
        <f t="shared" si="10"/>
        <v>14.992988505747126</v>
      </c>
      <c r="W20" s="139">
        <v>17</v>
      </c>
      <c r="X20" s="2">
        <f t="shared" si="0"/>
        <v>10.554435694496753</v>
      </c>
      <c r="Y20" s="2">
        <f t="shared" si="1"/>
        <v>2.1830118610781968</v>
      </c>
      <c r="Z20" s="2">
        <f t="shared" si="2"/>
        <v>4.3660237221563936</v>
      </c>
      <c r="AA20" s="142">
        <f t="shared" si="4"/>
        <v>9.0990944537779548</v>
      </c>
      <c r="AB20" s="142">
        <f t="shared" si="5"/>
        <v>12.009776935215552</v>
      </c>
      <c r="AC20" s="142">
        <f t="shared" si="3"/>
        <v>6.058716427851377</v>
      </c>
      <c r="AD20" s="142">
        <f t="shared" si="3"/>
        <v>7.7383925372082807</v>
      </c>
      <c r="AE20" s="142">
        <f t="shared" si="3"/>
        <v>9.4180686465651853</v>
      </c>
      <c r="AF20" s="142">
        <f t="shared" si="3"/>
        <v>11.097744755922088</v>
      </c>
      <c r="AG20" s="142">
        <f t="shared" si="3"/>
        <v>12.777420865278993</v>
      </c>
      <c r="AH20" s="142">
        <f t="shared" si="3"/>
        <v>14.457096974635895</v>
      </c>
      <c r="AI20" s="143">
        <f t="shared" si="6"/>
        <v>7.6437532130591581</v>
      </c>
      <c r="AJ20" s="143">
        <f t="shared" si="7"/>
        <v>13.465118175934348</v>
      </c>
      <c r="AK20" s="143">
        <f t="shared" si="8"/>
        <v>0.37985243630440624</v>
      </c>
      <c r="AL20" s="143">
        <f t="shared" si="9"/>
        <v>2.0764690075541901</v>
      </c>
    </row>
    <row r="21" spans="1:38">
      <c r="P21" s="144">
        <f t="shared" si="10"/>
        <v>7.4724521072796941</v>
      </c>
      <c r="Q21" s="144">
        <f t="shared" si="10"/>
        <v>9.2808812260536406</v>
      </c>
      <c r="R21" s="144">
        <f t="shared" si="10"/>
        <v>11.089310344827588</v>
      </c>
      <c r="S21" s="144">
        <f t="shared" si="10"/>
        <v>12.897739463601534</v>
      </c>
      <c r="T21" s="144">
        <f t="shared" si="10"/>
        <v>14.706168582375479</v>
      </c>
      <c r="U21" s="144">
        <f t="shared" si="10"/>
        <v>16.514597701149427</v>
      </c>
      <c r="W21" s="139">
        <v>18</v>
      </c>
      <c r="X21" s="2">
        <f t="shared" si="0"/>
        <v>11.020844847478843</v>
      </c>
      <c r="Y21" s="2">
        <f t="shared" si="1"/>
        <v>2.2350882321494874</v>
      </c>
      <c r="Z21" s="2">
        <f t="shared" si="2"/>
        <v>4.4701764642989748</v>
      </c>
      <c r="AA21" s="142">
        <f t="shared" si="4"/>
        <v>9.5307860260458508</v>
      </c>
      <c r="AB21" s="142">
        <f t="shared" si="5"/>
        <v>12.510903668911835</v>
      </c>
      <c r="AC21" s="142">
        <f t="shared" si="3"/>
        <v>6.417878914456427</v>
      </c>
      <c r="AD21" s="142">
        <f t="shared" si="3"/>
        <v>8.1376241768536843</v>
      </c>
      <c r="AE21" s="142">
        <f t="shared" si="3"/>
        <v>9.8573694392509434</v>
      </c>
      <c r="AF21" s="142">
        <f t="shared" si="3"/>
        <v>11.577114701648203</v>
      </c>
      <c r="AG21" s="142">
        <f t="shared" si="3"/>
        <v>13.29685996404546</v>
      </c>
      <c r="AH21" s="142">
        <f t="shared" si="3"/>
        <v>15.016605226442719</v>
      </c>
      <c r="AI21" s="143">
        <f t="shared" si="6"/>
        <v>8.0407272046128604</v>
      </c>
      <c r="AJ21" s="143">
        <f t="shared" si="7"/>
        <v>14.000962490344826</v>
      </c>
      <c r="AK21" s="143">
        <f t="shared" si="8"/>
        <v>0.3883661049320577</v>
      </c>
      <c r="AL21" s="143">
        <f t="shared" si="9"/>
        <v>2.0503547614674238</v>
      </c>
    </row>
    <row r="22" spans="1:38">
      <c r="M22" t="s">
        <v>521</v>
      </c>
      <c r="P22" s="144">
        <f t="shared" si="10"/>
        <v>8.4074712643678158</v>
      </c>
      <c r="Q22" s="144">
        <f t="shared" si="10"/>
        <v>10.292528735632184</v>
      </c>
      <c r="R22" s="144">
        <f t="shared" si="10"/>
        <v>12.177586206896551</v>
      </c>
      <c r="S22" s="144">
        <f t="shared" si="10"/>
        <v>14.062643678160919</v>
      </c>
      <c r="T22" s="144">
        <f t="shared" si="10"/>
        <v>15.947701149425287</v>
      </c>
      <c r="U22" s="144">
        <f t="shared" si="10"/>
        <v>17.832758620689656</v>
      </c>
      <c r="W22" s="139">
        <v>19</v>
      </c>
      <c r="X22" s="2">
        <f t="shared" si="0"/>
        <v>11.46854570697986</v>
      </c>
      <c r="Y22" s="2">
        <f t="shared" si="1"/>
        <v>2.2826596167457747</v>
      </c>
      <c r="Z22" s="2">
        <f t="shared" si="2"/>
        <v>4.5653192334915493</v>
      </c>
      <c r="AA22" s="142">
        <f t="shared" si="4"/>
        <v>9.9467726291493435</v>
      </c>
      <c r="AB22" s="142">
        <f t="shared" si="5"/>
        <v>12.990318784810377</v>
      </c>
      <c r="AC22" s="142">
        <f t="shared" si="3"/>
        <v>6.7676107275753976</v>
      </c>
      <c r="AD22" s="142">
        <f t="shared" si="3"/>
        <v>8.5239588686010599</v>
      </c>
      <c r="AE22" s="142">
        <f t="shared" si="3"/>
        <v>10.280307009626725</v>
      </c>
      <c r="AF22" s="142">
        <f t="shared" si="3"/>
        <v>12.036655150652386</v>
      </c>
      <c r="AG22" s="142">
        <f t="shared" si="3"/>
        <v>13.793003291678051</v>
      </c>
      <c r="AH22" s="142">
        <f t="shared" si="3"/>
        <v>15.549351432703713</v>
      </c>
      <c r="AI22" s="143">
        <f t="shared" si="6"/>
        <v>8.4249995513188267</v>
      </c>
      <c r="AJ22" s="143">
        <f t="shared" si="7"/>
        <v>14.512091862640894</v>
      </c>
      <c r="AK22" s="143">
        <f t="shared" si="8"/>
        <v>0.3964465199648024</v>
      </c>
      <c r="AL22" s="143">
        <f t="shared" si="9"/>
        <v>2.026119270760955</v>
      </c>
    </row>
    <row r="23" spans="1:38">
      <c r="P23" s="144">
        <f t="shared" si="10"/>
        <v>9.2534865900383139</v>
      </c>
      <c r="Q23" s="144">
        <f t="shared" si="10"/>
        <v>11.199846743295019</v>
      </c>
      <c r="R23" s="144">
        <f t="shared" si="10"/>
        <v>13.146206896551725</v>
      </c>
      <c r="S23" s="144">
        <f t="shared" si="10"/>
        <v>15.09256704980843</v>
      </c>
      <c r="T23" s="144">
        <f t="shared" si="10"/>
        <v>17.038927203065136</v>
      </c>
      <c r="U23" s="144">
        <f t="shared" si="10"/>
        <v>18.985287356321841</v>
      </c>
      <c r="W23" s="139">
        <v>20</v>
      </c>
      <c r="X23" s="2">
        <f t="shared" si="0"/>
        <v>11.898288687614818</v>
      </c>
      <c r="Y23" s="2">
        <f t="shared" si="1"/>
        <v>2.3261157291025651</v>
      </c>
      <c r="Z23" s="2">
        <f t="shared" si="2"/>
        <v>4.6522314582051303</v>
      </c>
      <c r="AA23" s="142">
        <f t="shared" si="4"/>
        <v>10.347544868213108</v>
      </c>
      <c r="AB23" s="142">
        <f t="shared" si="5"/>
        <v>13.449032507016527</v>
      </c>
      <c r="AC23" s="142">
        <f t="shared" si="3"/>
        <v>7.1078596999279462</v>
      </c>
      <c r="AD23" s="142">
        <f t="shared" si="3"/>
        <v>8.8976443032251336</v>
      </c>
      <c r="AE23" s="142">
        <f t="shared" si="3"/>
        <v>10.687428906522321</v>
      </c>
      <c r="AF23" s="142">
        <f t="shared" si="3"/>
        <v>12.477213509819506</v>
      </c>
      <c r="AG23" s="142">
        <f t="shared" si="3"/>
        <v>14.266998113116694</v>
      </c>
      <c r="AH23" s="142">
        <f t="shared" si="3"/>
        <v>16.056782716413881</v>
      </c>
      <c r="AI23" s="143">
        <f t="shared" si="6"/>
        <v>8.7968010488113979</v>
      </c>
      <c r="AJ23" s="143">
        <f t="shared" si="7"/>
        <v>14.999776326418237</v>
      </c>
      <c r="AK23" s="143">
        <f t="shared" si="8"/>
        <v>0.4041297329555178</v>
      </c>
      <c r="AL23" s="143">
        <f t="shared" si="9"/>
        <v>2.0035530356000777</v>
      </c>
    </row>
    <row r="24" spans="1:38">
      <c r="P24" s="144">
        <f t="shared" si="10"/>
        <v>10</v>
      </c>
      <c r="Q24" s="144">
        <f t="shared" si="10"/>
        <v>12</v>
      </c>
      <c r="R24" s="144">
        <f t="shared" si="10"/>
        <v>14</v>
      </c>
      <c r="S24" s="144">
        <f t="shared" si="10"/>
        <v>16</v>
      </c>
      <c r="T24" s="144">
        <f t="shared" si="10"/>
        <v>18</v>
      </c>
      <c r="U24" s="144">
        <f t="shared" si="10"/>
        <v>20</v>
      </c>
      <c r="W24" s="139">
        <v>21</v>
      </c>
      <c r="X24" s="2">
        <f t="shared" si="0"/>
        <v>12.310794103867199</v>
      </c>
      <c r="Y24" s="2">
        <f t="shared" si="1"/>
        <v>2.3658125703274342</v>
      </c>
      <c r="Z24" s="2">
        <f t="shared" si="2"/>
        <v>4.7316251406548684</v>
      </c>
      <c r="AA24" s="142">
        <f t="shared" si="4"/>
        <v>10.733585723648909</v>
      </c>
      <c r="AB24" s="142">
        <f t="shared" si="5"/>
        <v>13.888002484085488</v>
      </c>
      <c r="AC24" s="142">
        <f t="shared" si="3"/>
        <v>7.4386129932983831</v>
      </c>
      <c r="AD24" s="142">
        <f t="shared" si="3"/>
        <v>9.2589415606532892</v>
      </c>
      <c r="AE24" s="142">
        <f t="shared" si="3"/>
        <v>11.079270128008195</v>
      </c>
      <c r="AF24" s="142">
        <f t="shared" si="3"/>
        <v>12.899598695363101</v>
      </c>
      <c r="AG24" s="142">
        <f t="shared" si="3"/>
        <v>14.719927262718008</v>
      </c>
      <c r="AH24" s="142">
        <f t="shared" si="3"/>
        <v>16.540255830072915</v>
      </c>
      <c r="AI24" s="143">
        <f t="shared" si="6"/>
        <v>9.1563773434306199</v>
      </c>
      <c r="AJ24" s="143">
        <f t="shared" si="7"/>
        <v>15.465210864303778</v>
      </c>
      <c r="AK24" s="143">
        <f t="shared" si="8"/>
        <v>0.41144599819852873</v>
      </c>
      <c r="AL24" s="143">
        <f t="shared" si="9"/>
        <v>1.9824823707730455</v>
      </c>
    </row>
    <row r="25" spans="1:38">
      <c r="W25" s="139">
        <v>22</v>
      </c>
      <c r="X25" s="2">
        <f t="shared" si="0"/>
        <v>12.706753377445406</v>
      </c>
      <c r="Y25" s="2">
        <f t="shared" si="1"/>
        <v>2.4020753448318413</v>
      </c>
      <c r="Z25" s="2">
        <f t="shared" si="2"/>
        <v>4.8041506896636825</v>
      </c>
      <c r="AA25" s="142">
        <f t="shared" si="4"/>
        <v>11.105369814224177</v>
      </c>
      <c r="AB25" s="142">
        <f t="shared" si="5"/>
        <v>14.308136940666634</v>
      </c>
      <c r="AC25" s="142">
        <f t="shared" ref="AC25:AH43" si="11">$X25+(AC$3-$X$33)*($Y25/$Y$33)</f>
        <v>7.7598922997595263</v>
      </c>
      <c r="AD25" s="142">
        <f t="shared" si="11"/>
        <v>9.6081225551812874</v>
      </c>
      <c r="AE25" s="142">
        <f t="shared" si="11"/>
        <v>11.456352810603049</v>
      </c>
      <c r="AF25" s="142">
        <f t="shared" si="11"/>
        <v>13.304583066024811</v>
      </c>
      <c r="AG25" s="142">
        <f t="shared" si="11"/>
        <v>15.152813321446573</v>
      </c>
      <c r="AH25" s="142">
        <f t="shared" si="11"/>
        <v>17.001043576868334</v>
      </c>
      <c r="AI25" s="143">
        <f t="shared" si="6"/>
        <v>9.5039862510029511</v>
      </c>
      <c r="AJ25" s="143">
        <f t="shared" si="7"/>
        <v>15.90952050388786</v>
      </c>
      <c r="AK25" s="143">
        <f t="shared" si="8"/>
        <v>0.41842111790456193</v>
      </c>
      <c r="AL25" s="143">
        <f t="shared" si="9"/>
        <v>1.9627612232164</v>
      </c>
    </row>
    <row r="26" spans="1:38">
      <c r="W26" s="139">
        <v>23</v>
      </c>
      <c r="X26" s="2">
        <f t="shared" si="0"/>
        <v>13.08683019621051</v>
      </c>
      <c r="Y26" s="2">
        <f t="shared" si="1"/>
        <v>2.4352011244702889</v>
      </c>
      <c r="Z26" s="2">
        <f t="shared" si="2"/>
        <v>4.8704022489405778</v>
      </c>
      <c r="AA26" s="142">
        <f t="shared" si="4"/>
        <v>11.463362779896984</v>
      </c>
      <c r="AB26" s="142">
        <f t="shared" si="5"/>
        <v>14.710297612524036</v>
      </c>
      <c r="AC26" s="142">
        <f t="shared" si="11"/>
        <v>8.071749514042196</v>
      </c>
      <c r="AD26" s="142">
        <f t="shared" si="11"/>
        <v>9.9454677577129278</v>
      </c>
      <c r="AE26" s="142">
        <f t="shared" si="11"/>
        <v>11.819186001383658</v>
      </c>
      <c r="AF26" s="142">
        <f t="shared" si="11"/>
        <v>13.692904245054388</v>
      </c>
      <c r="AG26" s="142">
        <f t="shared" si="11"/>
        <v>15.56662248872512</v>
      </c>
      <c r="AH26" s="142">
        <f t="shared" si="11"/>
        <v>17.44034073239585</v>
      </c>
      <c r="AI26" s="143">
        <f t="shared" si="6"/>
        <v>9.8398953635834587</v>
      </c>
      <c r="AJ26" s="143">
        <f t="shared" si="7"/>
        <v>16.333765028837561</v>
      </c>
      <c r="AK26" s="143">
        <f t="shared" si="8"/>
        <v>0.4250774223985132</v>
      </c>
      <c r="AL26" s="143">
        <f t="shared" si="9"/>
        <v>1.9442652268854115</v>
      </c>
    </row>
    <row r="27" spans="1:38">
      <c r="W27" s="139">
        <v>24</v>
      </c>
      <c r="X27" s="2">
        <f t="shared" si="0"/>
        <v>13.45166162661789</v>
      </c>
      <c r="Y27" s="2">
        <f t="shared" si="1"/>
        <v>2.4654612822119875</v>
      </c>
      <c r="Z27" s="2">
        <f t="shared" si="2"/>
        <v>4.9309225644239749</v>
      </c>
      <c r="AA27" s="142">
        <f t="shared" si="4"/>
        <v>11.808020771809899</v>
      </c>
      <c r="AB27" s="142">
        <f t="shared" si="5"/>
        <v>15.095302481425881</v>
      </c>
      <c r="AC27" s="142">
        <f t="shared" si="11"/>
        <v>8.3742628340459557</v>
      </c>
      <c r="AD27" s="142">
        <f t="shared" si="11"/>
        <v>10.271264168812216</v>
      </c>
      <c r="AE27" s="142">
        <f t="shared" si="11"/>
        <v>12.168265503578475</v>
      </c>
      <c r="AF27" s="142">
        <f t="shared" si="11"/>
        <v>14.065266838344733</v>
      </c>
      <c r="AG27" s="142">
        <f t="shared" si="11"/>
        <v>15.962268173110992</v>
      </c>
      <c r="AH27" s="142">
        <f t="shared" si="11"/>
        <v>17.859269507877251</v>
      </c>
      <c r="AI27" s="143">
        <f t="shared" si="6"/>
        <v>10.164379917001906</v>
      </c>
      <c r="AJ27" s="143">
        <f t="shared" si="7"/>
        <v>16.738943336233874</v>
      </c>
      <c r="AK27" s="143">
        <f t="shared" si="8"/>
        <v>0.43143449486544955</v>
      </c>
      <c r="AL27" s="143">
        <f t="shared" si="9"/>
        <v>1.9268873031230993</v>
      </c>
    </row>
    <row r="28" spans="1:38" ht="18" customHeight="1">
      <c r="W28" s="139">
        <v>25</v>
      </c>
      <c r="X28" s="2">
        <f t="shared" si="0"/>
        <v>13.801859181537314</v>
      </c>
      <c r="Y28" s="2">
        <f t="shared" si="1"/>
        <v>2.4931037152821416</v>
      </c>
      <c r="Z28" s="2">
        <f t="shared" si="2"/>
        <v>4.9862074305642832</v>
      </c>
      <c r="AA28" s="142">
        <f t="shared" si="4"/>
        <v>12.139790038015885</v>
      </c>
      <c r="AB28" s="142">
        <f t="shared" si="5"/>
        <v>15.463928325058742</v>
      </c>
      <c r="AC28" s="142">
        <f t="shared" si="11"/>
        <v>8.6675332502969411</v>
      </c>
      <c r="AD28" s="142">
        <f t="shared" si="11"/>
        <v>10.585803518714116</v>
      </c>
      <c r="AE28" s="142">
        <f t="shared" si="11"/>
        <v>12.50407378713129</v>
      </c>
      <c r="AF28" s="142">
        <f t="shared" si="11"/>
        <v>14.422344055548466</v>
      </c>
      <c r="AG28" s="142">
        <f t="shared" si="11"/>
        <v>16.340614323965642</v>
      </c>
      <c r="AH28" s="142">
        <f t="shared" si="11"/>
        <v>18.258884592382817</v>
      </c>
      <c r="AI28" s="143">
        <f t="shared" si="6"/>
        <v>10.477720894494459</v>
      </c>
      <c r="AJ28" s="143">
        <f t="shared" si="7"/>
        <v>17.12599746858017</v>
      </c>
      <c r="AK28" s="143">
        <f t="shared" si="8"/>
        <v>0.4375097143788011</v>
      </c>
      <c r="AL28" s="143">
        <f t="shared" si="9"/>
        <v>1.910534349774528</v>
      </c>
    </row>
    <row r="29" spans="1:38" ht="18" customHeight="1">
      <c r="W29" s="139">
        <v>26</v>
      </c>
      <c r="X29" s="2">
        <f t="shared" si="0"/>
        <v>14.138009845241381</v>
      </c>
      <c r="Y29" s="2">
        <f t="shared" si="1"/>
        <v>2.5183548759852812</v>
      </c>
      <c r="Z29" s="2">
        <f t="shared" si="2"/>
        <v>5.0367097519705624</v>
      </c>
      <c r="AA29" s="142">
        <f t="shared" si="4"/>
        <v>12.459106594584528</v>
      </c>
      <c r="AB29" s="142">
        <f t="shared" si="5"/>
        <v>15.816913095898235</v>
      </c>
      <c r="AC29" s="142">
        <f t="shared" si="11"/>
        <v>8.9516813886358015</v>
      </c>
      <c r="AD29" s="142">
        <f t="shared" si="11"/>
        <v>10.889380672590093</v>
      </c>
      <c r="AE29" s="142">
        <f t="shared" si="11"/>
        <v>12.827079956544384</v>
      </c>
      <c r="AF29" s="142">
        <f t="shared" si="11"/>
        <v>14.764779240498674</v>
      </c>
      <c r="AG29" s="142">
        <f t="shared" si="11"/>
        <v>16.702478524452964</v>
      </c>
      <c r="AH29" s="142">
        <f t="shared" si="11"/>
        <v>18.640177808407255</v>
      </c>
      <c r="AI29" s="143">
        <f t="shared" si="6"/>
        <v>10.780203343927672</v>
      </c>
      <c r="AJ29" s="143">
        <f t="shared" si="7"/>
        <v>17.495816346555088</v>
      </c>
      <c r="AK29" s="143">
        <f t="shared" si="8"/>
        <v>0.44331866776119183</v>
      </c>
      <c r="AL29" s="143">
        <f t="shared" si="9"/>
        <v>1.8951247110794758</v>
      </c>
    </row>
    <row r="30" spans="1:38">
      <c r="W30" s="139">
        <v>27</v>
      </c>
      <c r="X30" s="2">
        <f t="shared" si="0"/>
        <v>14.460677057280261</v>
      </c>
      <c r="Y30" s="2">
        <f t="shared" si="1"/>
        <v>2.541421626847534</v>
      </c>
      <c r="Z30" s="2">
        <f t="shared" si="2"/>
        <v>5.0828432536950681</v>
      </c>
      <c r="AA30" s="142">
        <f t="shared" si="4"/>
        <v>12.766395972715237</v>
      </c>
      <c r="AB30" s="142">
        <f t="shared" si="5"/>
        <v>16.154958141845285</v>
      </c>
      <c r="AC30" s="142">
        <f t="shared" si="11"/>
        <v>9.2268446735915184</v>
      </c>
      <c r="AD30" s="142">
        <f t="shared" si="11"/>
        <v>11.182292221325136</v>
      </c>
      <c r="AE30" s="142">
        <f t="shared" si="11"/>
        <v>13.137739769058753</v>
      </c>
      <c r="AF30" s="142">
        <f t="shared" si="11"/>
        <v>15.09318731679237</v>
      </c>
      <c r="AG30" s="142">
        <f t="shared" si="11"/>
        <v>17.048634864525987</v>
      </c>
      <c r="AH30" s="142">
        <f t="shared" si="11"/>
        <v>19.004082412259603</v>
      </c>
      <c r="AI30" s="143">
        <f t="shared" si="6"/>
        <v>11.072114888150216</v>
      </c>
      <c r="AJ30" s="143">
        <f t="shared" si="7"/>
        <v>17.849239226410305</v>
      </c>
      <c r="AK30" s="143">
        <f t="shared" si="8"/>
        <v>0.44887546550941781</v>
      </c>
      <c r="AL30" s="143">
        <f t="shared" si="9"/>
        <v>1.8805862166911025</v>
      </c>
    </row>
    <row r="31" spans="1:38">
      <c r="W31" s="139">
        <v>28</v>
      </c>
      <c r="X31" s="2">
        <f t="shared" si="0"/>
        <v>14.770401656891945</v>
      </c>
      <c r="Y31" s="2">
        <f t="shared" si="1"/>
        <v>2.5624929352755506</v>
      </c>
      <c r="Z31" s="2">
        <f t="shared" si="2"/>
        <v>5.1249858705511011</v>
      </c>
      <c r="AA31" s="142">
        <f t="shared" si="4"/>
        <v>13.062073033374912</v>
      </c>
      <c r="AB31" s="142">
        <f t="shared" si="5"/>
        <v>16.478730280408978</v>
      </c>
      <c r="AC31" s="142">
        <f t="shared" si="11"/>
        <v>9.4931747827919253</v>
      </c>
      <c r="AD31" s="142">
        <f t="shared" si="11"/>
        <v>11.464835239850713</v>
      </c>
      <c r="AE31" s="142">
        <f t="shared" si="11"/>
        <v>13.4364956969095</v>
      </c>
      <c r="AF31" s="142">
        <f t="shared" si="11"/>
        <v>15.408156153968285</v>
      </c>
      <c r="AG31" s="142">
        <f t="shared" si="11"/>
        <v>17.379816611027071</v>
      </c>
      <c r="AH31" s="142">
        <f t="shared" si="11"/>
        <v>19.351477068085856</v>
      </c>
      <c r="AI31" s="143">
        <f t="shared" si="6"/>
        <v>11.353744409857878</v>
      </c>
      <c r="AJ31" s="143">
        <f t="shared" si="7"/>
        <v>18.187058903926012</v>
      </c>
      <c r="AK31" s="143">
        <f t="shared" si="8"/>
        <v>0.45419298670783814</v>
      </c>
      <c r="AL31" s="143">
        <f t="shared" si="9"/>
        <v>1.8668546418047602</v>
      </c>
    </row>
    <row r="32" spans="1:38">
      <c r="W32" s="139">
        <v>29</v>
      </c>
      <c r="X32" s="2">
        <f t="shared" si="0"/>
        <v>15.067702789530919</v>
      </c>
      <c r="Y32" s="2">
        <f t="shared" si="1"/>
        <v>2.5817414216150452</v>
      </c>
      <c r="Z32" s="2">
        <f t="shared" si="2"/>
        <v>5.1634828432300903</v>
      </c>
      <c r="AA32" s="142">
        <f t="shared" si="4"/>
        <v>13.346541841787555</v>
      </c>
      <c r="AB32" s="142">
        <f t="shared" si="5"/>
        <v>16.788863737274283</v>
      </c>
      <c r="AC32" s="142">
        <f t="shared" si="11"/>
        <v>9.7508353654031588</v>
      </c>
      <c r="AD32" s="142">
        <f t="shared" si="11"/>
        <v>11.737306196707809</v>
      </c>
      <c r="AE32" s="142">
        <f t="shared" si="11"/>
        <v>13.723777028012462</v>
      </c>
      <c r="AF32" s="142">
        <f t="shared" si="11"/>
        <v>15.710247859317114</v>
      </c>
      <c r="AG32" s="142">
        <f t="shared" si="11"/>
        <v>17.696718690621765</v>
      </c>
      <c r="AH32" s="142">
        <f t="shared" si="11"/>
        <v>19.683189521926419</v>
      </c>
      <c r="AI32" s="143">
        <f t="shared" si="6"/>
        <v>11.625380894044193</v>
      </c>
      <c r="AJ32" s="143">
        <f t="shared" si="7"/>
        <v>18.510024685017648</v>
      </c>
      <c r="AK32" s="143">
        <f t="shared" si="8"/>
        <v>0.45928307080375708</v>
      </c>
      <c r="AL32" s="143">
        <f t="shared" si="9"/>
        <v>1.853872483218248</v>
      </c>
    </row>
    <row r="33" spans="23:38">
      <c r="W33" s="139">
        <v>30</v>
      </c>
      <c r="X33" s="2">
        <f t="shared" si="0"/>
        <v>15.353078777034757</v>
      </c>
      <c r="Y33" s="2">
        <f t="shared" si="1"/>
        <v>2.5993247732909706</v>
      </c>
      <c r="Z33" s="2">
        <f t="shared" si="2"/>
        <v>5.1986495465819411</v>
      </c>
      <c r="AA33" s="142">
        <f t="shared" si="4"/>
        <v>13.620195594840776</v>
      </c>
      <c r="AB33" s="142">
        <f t="shared" si="5"/>
        <v>17.085961959228737</v>
      </c>
      <c r="AC33" s="142">
        <f t="shared" si="11"/>
        <v>10</v>
      </c>
      <c r="AD33" s="142">
        <f t="shared" si="11"/>
        <v>12</v>
      </c>
      <c r="AE33" s="142">
        <f t="shared" si="11"/>
        <v>14</v>
      </c>
      <c r="AF33" s="142">
        <f t="shared" si="11"/>
        <v>16</v>
      </c>
      <c r="AG33" s="142">
        <f t="shared" si="11"/>
        <v>18</v>
      </c>
      <c r="AH33" s="142">
        <f t="shared" si="11"/>
        <v>20</v>
      </c>
      <c r="AI33" s="143">
        <f t="shared" si="6"/>
        <v>11.887312412646796</v>
      </c>
      <c r="AJ33" s="143">
        <f t="shared" si="7"/>
        <v>18.818845141422717</v>
      </c>
      <c r="AK33" s="143">
        <f t="shared" si="8"/>
        <v>0.46415666922187437</v>
      </c>
      <c r="AL33" s="143">
        <f t="shared" si="9"/>
        <v>1.8415879754771383</v>
      </c>
    </row>
    <row r="34" spans="23:38">
      <c r="W34" s="139">
        <v>31</v>
      </c>
      <c r="X34" s="2">
        <f t="shared" si="0"/>
        <v>15.627007952887201</v>
      </c>
      <c r="Y34" s="2">
        <f t="shared" si="1"/>
        <v>2.6153870366142371</v>
      </c>
      <c r="Z34" s="2">
        <f t="shared" si="2"/>
        <v>5.2307740732284742</v>
      </c>
      <c r="AA34" s="142">
        <f t="shared" si="4"/>
        <v>13.883416595144377</v>
      </c>
      <c r="AB34" s="142">
        <f t="shared" si="5"/>
        <v>17.370599310630027</v>
      </c>
      <c r="AC34" s="142">
        <f t="shared" si="11"/>
        <v>10.240850369467637</v>
      </c>
      <c r="AD34" s="142">
        <f t="shared" si="11"/>
        <v>12.253209166250796</v>
      </c>
      <c r="AE34" s="142">
        <f t="shared" si="11"/>
        <v>14.265567963033956</v>
      </c>
      <c r="AF34" s="142">
        <f t="shared" si="11"/>
        <v>16.277926759817113</v>
      </c>
      <c r="AG34" s="142">
        <f t="shared" si="11"/>
        <v>18.290285556600274</v>
      </c>
      <c r="AH34" s="142">
        <f t="shared" si="11"/>
        <v>20.302644353383432</v>
      </c>
      <c r="AI34" s="143">
        <f t="shared" si="6"/>
        <v>12.139825237401551</v>
      </c>
      <c r="AJ34" s="143">
        <f t="shared" si="7"/>
        <v>19.114190668372849</v>
      </c>
      <c r="AK34" s="143">
        <f t="shared" si="8"/>
        <v>0.46882396634692008</v>
      </c>
      <c r="AL34" s="143">
        <f t="shared" si="9"/>
        <v>1.8299542916617513</v>
      </c>
    </row>
    <row r="35" spans="23:38">
      <c r="W35" s="139">
        <v>32</v>
      </c>
      <c r="X35" s="2">
        <f t="shared" si="0"/>
        <v>15.889949463977686</v>
      </c>
      <c r="Y35" s="2">
        <f t="shared" si="1"/>
        <v>2.6300597968377164</v>
      </c>
      <c r="Z35" s="2">
        <f t="shared" si="2"/>
        <v>5.2601195936754328</v>
      </c>
      <c r="AA35" s="142">
        <f t="shared" si="4"/>
        <v>14.136576266085875</v>
      </c>
      <c r="AB35" s="142">
        <f t="shared" si="5"/>
        <v>17.643322661869497</v>
      </c>
      <c r="AC35" s="142">
        <f t="shared" si="11"/>
        <v>10.473574632540522</v>
      </c>
      <c r="AD35" s="142">
        <f t="shared" si="11"/>
        <v>12.497223099913711</v>
      </c>
      <c r="AE35" s="142">
        <f t="shared" si="11"/>
        <v>14.5208715672869</v>
      </c>
      <c r="AF35" s="142">
        <f t="shared" si="11"/>
        <v>16.544520034660088</v>
      </c>
      <c r="AG35" s="142">
        <f t="shared" si="11"/>
        <v>18.568168502033277</v>
      </c>
      <c r="AH35" s="142">
        <f t="shared" si="11"/>
        <v>20.591816969406466</v>
      </c>
      <c r="AI35" s="143">
        <f t="shared" si="6"/>
        <v>12.383203068194064</v>
      </c>
      <c r="AJ35" s="143">
        <f t="shared" si="7"/>
        <v>19.396695859761309</v>
      </c>
      <c r="AK35" s="143">
        <f t="shared" si="8"/>
        <v>0.47329447694451648</v>
      </c>
      <c r="AL35" s="143">
        <f t="shared" si="9"/>
        <v>1.8189288877714178</v>
      </c>
    </row>
    <row r="36" spans="23:38">
      <c r="W36" s="139">
        <v>33</v>
      </c>
      <c r="X36" s="2">
        <f t="shared" si="0"/>
        <v>16.142344040201248</v>
      </c>
      <c r="Y36" s="2">
        <f t="shared" si="1"/>
        <v>2.6434632561287779</v>
      </c>
      <c r="Z36" s="2">
        <f t="shared" si="2"/>
        <v>5.2869265122575557</v>
      </c>
      <c r="AA36" s="142">
        <f t="shared" si="4"/>
        <v>14.380035202782063</v>
      </c>
      <c r="AB36" s="142">
        <f t="shared" si="5"/>
        <v>17.904652877620432</v>
      </c>
      <c r="AC36" s="142">
        <f t="shared" si="11"/>
        <v>10.698365973413472</v>
      </c>
      <c r="AD36" s="142">
        <f t="shared" si="11"/>
        <v>12.7323274724084</v>
      </c>
      <c r="AE36" s="142">
        <f t="shared" si="11"/>
        <v>14.766288971403329</v>
      </c>
      <c r="AF36" s="142">
        <f t="shared" si="11"/>
        <v>16.800250470398257</v>
      </c>
      <c r="AG36" s="142">
        <f t="shared" si="11"/>
        <v>18.834211969393188</v>
      </c>
      <c r="AH36" s="142">
        <f t="shared" si="11"/>
        <v>20.868173468388115</v>
      </c>
      <c r="AI36" s="143">
        <f t="shared" si="6"/>
        <v>12.617726365362877</v>
      </c>
      <c r="AJ36" s="143">
        <f t="shared" si="7"/>
        <v>19.666961715039619</v>
      </c>
      <c r="AK36" s="143">
        <f t="shared" si="8"/>
        <v>0.47757712531578295</v>
      </c>
      <c r="AL36" s="143">
        <f t="shared" si="9"/>
        <v>1.808472959961102</v>
      </c>
    </row>
    <row r="37" spans="23:38">
      <c r="W37" s="139">
        <v>34</v>
      </c>
      <c r="X37" s="2">
        <f t="shared" si="0"/>
        <v>16.384614733188744</v>
      </c>
      <c r="Y37" s="2">
        <f t="shared" si="1"/>
        <v>2.6557072182893302</v>
      </c>
      <c r="Z37" s="2">
        <f t="shared" si="2"/>
        <v>5.3114144365786604</v>
      </c>
      <c r="AA37" s="142">
        <f t="shared" si="4"/>
        <v>14.614143254329191</v>
      </c>
      <c r="AB37" s="142">
        <f t="shared" si="5"/>
        <v>18.155086212048296</v>
      </c>
      <c r="AC37" s="142">
        <f t="shared" si="11"/>
        <v>10.915421312528322</v>
      </c>
      <c r="AD37" s="142">
        <f t="shared" si="11"/>
        <v>12.958803690581044</v>
      </c>
      <c r="AE37" s="142">
        <f t="shared" si="11"/>
        <v>15.002186068633769</v>
      </c>
      <c r="AF37" s="142">
        <f t="shared" si="11"/>
        <v>17.045568446686492</v>
      </c>
      <c r="AG37" s="142">
        <f t="shared" si="11"/>
        <v>19.088950824739214</v>
      </c>
      <c r="AH37" s="142">
        <f t="shared" si="11"/>
        <v>21.132333202791941</v>
      </c>
      <c r="AI37" s="143">
        <f t="shared" si="6"/>
        <v>12.843671775469637</v>
      </c>
      <c r="AJ37" s="143">
        <f t="shared" si="7"/>
        <v>19.925557690907851</v>
      </c>
      <c r="AK37" s="143">
        <f t="shared" si="8"/>
        <v>0.48168031018675772</v>
      </c>
      <c r="AL37" s="143">
        <f t="shared" si="9"/>
        <v>1.7985509913451396</v>
      </c>
    </row>
    <row r="38" spans="23:38">
      <c r="W38" s="139">
        <v>35</v>
      </c>
      <c r="X38" s="2">
        <f t="shared" si="0"/>
        <v>16.617167625405624</v>
      </c>
      <c r="Y38" s="2">
        <f t="shared" si="1"/>
        <v>2.6668919882903865</v>
      </c>
      <c r="Z38" s="2">
        <f t="shared" si="2"/>
        <v>5.3337839765807731</v>
      </c>
      <c r="AA38" s="142">
        <f t="shared" si="4"/>
        <v>14.839239633212033</v>
      </c>
      <c r="AB38" s="142">
        <f t="shared" si="5"/>
        <v>18.395095617599214</v>
      </c>
      <c r="AC38" s="142">
        <f t="shared" si="11"/>
        <v>11.12494016316106</v>
      </c>
      <c r="AD38" s="142">
        <f t="shared" si="11"/>
        <v>13.176928445420895</v>
      </c>
      <c r="AE38" s="142">
        <f t="shared" si="11"/>
        <v>15.22891672768073</v>
      </c>
      <c r="AF38" s="142">
        <f t="shared" si="11"/>
        <v>17.280905009940565</v>
      </c>
      <c r="AG38" s="142">
        <f t="shared" si="11"/>
        <v>19.332893292200399</v>
      </c>
      <c r="AH38" s="142">
        <f t="shared" si="11"/>
        <v>21.384881574460234</v>
      </c>
      <c r="AI38" s="143">
        <f t="shared" si="6"/>
        <v>13.061311641018442</v>
      </c>
      <c r="AJ38" s="143">
        <f t="shared" si="7"/>
        <v>20.173023609792807</v>
      </c>
      <c r="AK38" s="143">
        <f t="shared" si="8"/>
        <v>0.4856119583799472</v>
      </c>
      <c r="AL38" s="143">
        <f t="shared" si="9"/>
        <v>1.789130370549185</v>
      </c>
    </row>
    <row r="39" spans="23:38">
      <c r="W39" s="139">
        <v>36</v>
      </c>
      <c r="X39" s="2">
        <f t="shared" si="0"/>
        <v>16.840392510807781</v>
      </c>
      <c r="Y39" s="2">
        <f t="shared" si="1"/>
        <v>2.6771091939903164</v>
      </c>
      <c r="Z39" s="2">
        <f t="shared" si="2"/>
        <v>5.3542183879806329</v>
      </c>
      <c r="AA39" s="142">
        <f t="shared" si="4"/>
        <v>15.055653048147571</v>
      </c>
      <c r="AB39" s="142">
        <f t="shared" si="5"/>
        <v>18.625131973467994</v>
      </c>
      <c r="AC39" s="142">
        <f t="shared" si="11"/>
        <v>11.327123619821842</v>
      </c>
      <c r="AD39" s="142">
        <f t="shared" si="11"/>
        <v>13.386973332715444</v>
      </c>
      <c r="AE39" s="142">
        <f t="shared" si="11"/>
        <v>15.446823045609047</v>
      </c>
      <c r="AF39" s="142">
        <f t="shared" si="11"/>
        <v>17.506672758502649</v>
      </c>
      <c r="AG39" s="142">
        <f t="shared" si="11"/>
        <v>19.566522471396251</v>
      </c>
      <c r="AH39" s="142">
        <f t="shared" si="11"/>
        <v>21.626372184289853</v>
      </c>
      <c r="AI39" s="143">
        <f t="shared" si="6"/>
        <v>13.27091358548736</v>
      </c>
      <c r="AJ39" s="143">
        <f t="shared" si="7"/>
        <v>20.409871436128203</v>
      </c>
      <c r="AK39" s="143">
        <f t="shared" si="8"/>
        <v>0.48937956960609746</v>
      </c>
      <c r="AL39" s="143">
        <f t="shared" si="9"/>
        <v>1.7801810682411425</v>
      </c>
    </row>
    <row r="40" spans="23:38">
      <c r="W40" s="139">
        <v>37</v>
      </c>
      <c r="X40" s="2">
        <f t="shared" si="0"/>
        <v>17.054663548195418</v>
      </c>
      <c r="Y40" s="2">
        <f t="shared" si="1"/>
        <v>2.6864425367684714</v>
      </c>
      <c r="Z40" s="2">
        <f t="shared" si="2"/>
        <v>5.3728850735369429</v>
      </c>
      <c r="AA40" s="142">
        <f t="shared" si="4"/>
        <v>15.263701857016436</v>
      </c>
      <c r="AB40" s="142">
        <f t="shared" si="5"/>
        <v>18.845625239374399</v>
      </c>
      <c r="AC40" s="142">
        <f t="shared" si="11"/>
        <v>11.522173465745485</v>
      </c>
      <c r="AD40" s="142">
        <f t="shared" si="11"/>
        <v>13.589204538101404</v>
      </c>
      <c r="AE40" s="142">
        <f t="shared" si="11"/>
        <v>15.656235610457323</v>
      </c>
      <c r="AF40" s="142">
        <f t="shared" si="11"/>
        <v>17.723266682813243</v>
      </c>
      <c r="AG40" s="142">
        <f t="shared" si="11"/>
        <v>19.790297755169163</v>
      </c>
      <c r="AH40" s="142">
        <f t="shared" si="11"/>
        <v>21.85732882752508</v>
      </c>
      <c r="AI40" s="143">
        <f t="shared" si="6"/>
        <v>13.472740165837456</v>
      </c>
      <c r="AJ40" s="143">
        <f t="shared" si="7"/>
        <v>20.636586930553378</v>
      </c>
      <c r="AK40" s="143">
        <f t="shared" si="8"/>
        <v>0.49299025418234954</v>
      </c>
      <c r="AL40" s="143">
        <f t="shared" si="9"/>
        <v>1.7716753609029272</v>
      </c>
    </row>
    <row r="41" spans="23:38">
      <c r="W41" s="139">
        <v>38</v>
      </c>
      <c r="X41" s="2">
        <f t="shared" si="0"/>
        <v>17.260339888359997</v>
      </c>
      <c r="Y41" s="2">
        <f t="shared" si="1"/>
        <v>2.6949684772235156</v>
      </c>
      <c r="Z41" s="2">
        <f t="shared" si="2"/>
        <v>5.3899369544470312</v>
      </c>
      <c r="AA41" s="142">
        <f t="shared" si="4"/>
        <v>15.463694236877654</v>
      </c>
      <c r="AB41" s="142">
        <f t="shared" si="5"/>
        <v>19.056985539842341</v>
      </c>
      <c r="AC41" s="142">
        <f t="shared" si="11"/>
        <v>11.710291387903538</v>
      </c>
      <c r="AD41" s="142">
        <f t="shared" si="11"/>
        <v>13.783882579674046</v>
      </c>
      <c r="AE41" s="142">
        <f t="shared" si="11"/>
        <v>15.857473771444555</v>
      </c>
      <c r="AF41" s="142">
        <f t="shared" si="11"/>
        <v>17.931064963215064</v>
      </c>
      <c r="AG41" s="142">
        <f t="shared" si="11"/>
        <v>20.004656154985572</v>
      </c>
      <c r="AH41" s="142">
        <f t="shared" si="11"/>
        <v>22.078247346756083</v>
      </c>
      <c r="AI41" s="143">
        <f t="shared" si="6"/>
        <v>13.66704858539531</v>
      </c>
      <c r="AJ41" s="143">
        <f t="shared" si="7"/>
        <v>20.853631191324684</v>
      </c>
      <c r="AK41" s="143">
        <f t="shared" si="8"/>
        <v>0.49645076508083796</v>
      </c>
      <c r="AL41" s="143">
        <f t="shared" si="9"/>
        <v>1.7635875933956247</v>
      </c>
    </row>
    <row r="42" spans="23:38">
      <c r="W42" s="139">
        <v>39</v>
      </c>
      <c r="X42" s="2">
        <f t="shared" si="0"/>
        <v>17.45776627607551</v>
      </c>
      <c r="Y42" s="2">
        <f t="shared" si="1"/>
        <v>2.7027568615538429</v>
      </c>
      <c r="Z42" s="2">
        <f t="shared" si="2"/>
        <v>5.4055137231076857</v>
      </c>
      <c r="AA42" s="142">
        <f t="shared" si="4"/>
        <v>15.655928368372948</v>
      </c>
      <c r="AB42" s="142">
        <f t="shared" si="5"/>
        <v>19.259604183778073</v>
      </c>
      <c r="AC42" s="142">
        <f t="shared" si="11"/>
        <v>11.89167828902066</v>
      </c>
      <c r="AD42" s="142">
        <f t="shared" si="11"/>
        <v>13.971262101959834</v>
      </c>
      <c r="AE42" s="142">
        <f t="shared" si="11"/>
        <v>16.050845914899003</v>
      </c>
      <c r="AF42" s="142">
        <f t="shared" si="11"/>
        <v>18.130429727838177</v>
      </c>
      <c r="AG42" s="142">
        <f t="shared" si="11"/>
        <v>20.21001354077735</v>
      </c>
      <c r="AH42" s="142">
        <f t="shared" si="11"/>
        <v>22.28959735371652</v>
      </c>
      <c r="AI42" s="143">
        <f t="shared" si="6"/>
        <v>13.854090460670387</v>
      </c>
      <c r="AJ42" s="143">
        <f t="shared" si="7"/>
        <v>21.061442091480636</v>
      </c>
      <c r="AK42" s="143">
        <f t="shared" si="8"/>
        <v>0.49976752540558589</v>
      </c>
      <c r="AL42" s="143">
        <f t="shared" si="9"/>
        <v>1.7558939736177173</v>
      </c>
    </row>
    <row r="43" spans="23:38">
      <c r="W43" s="139">
        <v>40</v>
      </c>
      <c r="X43" s="2">
        <f t="shared" si="0"/>
        <v>17.647273627943044</v>
      </c>
      <c r="Y43" s="2">
        <f t="shared" si="1"/>
        <v>2.7098714937515149</v>
      </c>
      <c r="Z43" s="2">
        <f t="shared" si="2"/>
        <v>5.4197429875030299</v>
      </c>
      <c r="AA43" s="142">
        <f t="shared" si="4"/>
        <v>15.8406926321087</v>
      </c>
      <c r="AB43" s="142">
        <f t="shared" si="5"/>
        <v>19.453854623777389</v>
      </c>
      <c r="AC43" s="142">
        <f t="shared" si="11"/>
        <v>12.066533687036522</v>
      </c>
      <c r="AD43" s="142">
        <f t="shared" si="11"/>
        <v>14.151591715641837</v>
      </c>
      <c r="AE43" s="142">
        <f t="shared" si="11"/>
        <v>16.236649744247153</v>
      </c>
      <c r="AF43" s="142">
        <f t="shared" si="11"/>
        <v>18.32170777285247</v>
      </c>
      <c r="AG43" s="142">
        <f t="shared" si="11"/>
        <v>20.406765801457784</v>
      </c>
      <c r="AH43" s="142">
        <f t="shared" si="11"/>
        <v>22.491823830063101</v>
      </c>
      <c r="AI43" s="143">
        <f t="shared" si="6"/>
        <v>14.034111636274357</v>
      </c>
      <c r="AJ43" s="143">
        <f t="shared" si="7"/>
        <v>21.26043561961173</v>
      </c>
      <c r="AK43" s="143">
        <f t="shared" si="8"/>
        <v>0.5029466521608047</v>
      </c>
      <c r="AL43" s="143">
        <f t="shared" si="9"/>
        <v>1.7485723939000155</v>
      </c>
    </row>
  </sheetData>
  <mergeCells count="22">
    <mergeCell ref="AK2:AL2"/>
    <mergeCell ref="A1:B1"/>
    <mergeCell ref="D2:E2"/>
    <mergeCell ref="D3:E3"/>
    <mergeCell ref="D4:E4"/>
    <mergeCell ref="AC2:AH2"/>
    <mergeCell ref="D5:E5"/>
    <mergeCell ref="D1:F1"/>
    <mergeCell ref="H2:K2"/>
    <mergeCell ref="H7:J7"/>
    <mergeCell ref="AA2:AB2"/>
    <mergeCell ref="M2:M3"/>
    <mergeCell ref="N2:N3"/>
    <mergeCell ref="O2:O3"/>
    <mergeCell ref="P2:U2"/>
    <mergeCell ref="W2:W3"/>
    <mergeCell ref="X2:X3"/>
    <mergeCell ref="D6:D8"/>
    <mergeCell ref="Y2:Y3"/>
    <mergeCell ref="Z2:Z3"/>
    <mergeCell ref="H1:AL1"/>
    <mergeCell ref="AI2:AJ2"/>
  </mergeCells>
  <phoneticPr fontId="18"/>
  <pageMargins left="0.7" right="0.7" top="0.75" bottom="0.75" header="0.3" footer="0.3"/>
  <pageSetup paperSize="8" scale="45" fitToHeight="0" orientation="landscape"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00FF"/>
    <pageSetUpPr fitToPage="1"/>
  </sheetPr>
  <dimension ref="A1:M7"/>
  <sheetViews>
    <sheetView workbookViewId="0">
      <selection activeCell="R20" sqref="R20"/>
    </sheetView>
  </sheetViews>
  <sheetFormatPr defaultRowHeight="14.4"/>
  <cols>
    <col min="4" max="4" width="25.19921875" bestFit="1" customWidth="1"/>
    <col min="10" max="10" width="12.69921875" bestFit="1" customWidth="1"/>
    <col min="11" max="11" width="5.5" bestFit="1" customWidth="1"/>
    <col min="13" max="13" width="12.69921875" bestFit="1" customWidth="1"/>
  </cols>
  <sheetData>
    <row r="1" spans="1:13" ht="23.4">
      <c r="A1" s="607" t="s">
        <v>234</v>
      </c>
      <c r="B1" s="608"/>
      <c r="D1" s="610" t="s">
        <v>1004</v>
      </c>
      <c r="E1" s="611"/>
      <c r="F1" s="611"/>
      <c r="G1" s="611"/>
      <c r="H1" s="611"/>
      <c r="J1" s="609" t="s">
        <v>241</v>
      </c>
      <c r="K1" s="609"/>
      <c r="L1" s="609"/>
      <c r="M1" s="609"/>
    </row>
    <row r="2" spans="1:13" ht="18">
      <c r="A2" s="245" t="s">
        <v>4</v>
      </c>
      <c r="B2" s="245">
        <f>ツール!E17</f>
        <v>0</v>
      </c>
      <c r="D2" s="2"/>
      <c r="E2" s="2" t="s">
        <v>1002</v>
      </c>
      <c r="F2" s="2" t="s">
        <v>1001</v>
      </c>
      <c r="G2" s="2" t="s">
        <v>1</v>
      </c>
      <c r="H2" s="2" t="s">
        <v>2</v>
      </c>
      <c r="J2" s="2"/>
      <c r="K2" s="2"/>
      <c r="L2" s="2" t="s">
        <v>1003</v>
      </c>
      <c r="M2" s="2" t="s">
        <v>1010</v>
      </c>
    </row>
    <row r="3" spans="1:13">
      <c r="D3" s="2" t="s">
        <v>1007</v>
      </c>
      <c r="E3" s="2">
        <v>0.35</v>
      </c>
      <c r="F3" s="2">
        <v>65.284599999999998</v>
      </c>
      <c r="G3" s="2">
        <v>5.9199999999999999E-3</v>
      </c>
      <c r="H3" s="2">
        <v>-0.52280000000000004</v>
      </c>
      <c r="J3" s="2" t="s">
        <v>1010</v>
      </c>
      <c r="K3" s="2" t="s">
        <v>1152</v>
      </c>
      <c r="L3" s="3">
        <f>E3+F3*(1-EXP(-G3*(($B$2+3)-1)))^(1/(1-H3))</f>
        <v>3.8812049101469874</v>
      </c>
      <c r="M3" s="283">
        <f>(L3/L5)^3</f>
        <v>1.6130669695024797</v>
      </c>
    </row>
    <row r="4" spans="1:13">
      <c r="D4" s="2" t="s">
        <v>1005</v>
      </c>
      <c r="E4" s="2">
        <v>0.35</v>
      </c>
      <c r="F4" s="2">
        <v>59.998849999999997</v>
      </c>
      <c r="G4" s="2">
        <v>5.9199999999999999E-3</v>
      </c>
      <c r="H4" s="2">
        <v>-0.52280000000000004</v>
      </c>
      <c r="J4" s="2" t="s">
        <v>1005</v>
      </c>
      <c r="K4" s="2"/>
      <c r="L4" s="282">
        <f>E4+F4*(1-EXP(-G4*(($B$2+3)-1)))^(1/(1-H4))</f>
        <v>3.5953018586798811</v>
      </c>
      <c r="M4" s="281"/>
    </row>
    <row r="5" spans="1:13">
      <c r="D5" s="2" t="s">
        <v>1008</v>
      </c>
      <c r="E5" s="2">
        <v>0.35</v>
      </c>
      <c r="F5" s="2">
        <v>54.713099999999997</v>
      </c>
      <c r="G5" s="2">
        <v>5.9199999999999999E-3</v>
      </c>
      <c r="H5" s="2">
        <v>-0.52280000000000004</v>
      </c>
      <c r="J5" s="2" t="s">
        <v>1011</v>
      </c>
      <c r="K5" s="2" t="s">
        <v>1153</v>
      </c>
      <c r="L5" s="3">
        <f>E5+F5*(1-EXP(-G5*(($B$2+3)-1)))^(1/(1-H5))</f>
        <v>3.3093988072127751</v>
      </c>
      <c r="M5" s="283">
        <v>1</v>
      </c>
    </row>
    <row r="6" spans="1:13">
      <c r="D6" s="2" t="s">
        <v>1006</v>
      </c>
      <c r="E6" s="2">
        <v>0.35</v>
      </c>
      <c r="F6" s="2">
        <v>49.42736</v>
      </c>
      <c r="G6" s="2">
        <v>5.9199999999999999E-3</v>
      </c>
      <c r="H6" s="2">
        <v>-0.52280000000000004</v>
      </c>
      <c r="J6" s="2" t="s">
        <v>1006</v>
      </c>
      <c r="K6" s="2"/>
      <c r="L6" s="282">
        <f>E6+F6*(1-EXP(-G6*(($B$2+3)-1)))^(1/(1-H6))</f>
        <v>3.0234962966396792</v>
      </c>
      <c r="M6" s="281"/>
    </row>
    <row r="7" spans="1:13">
      <c r="D7" s="2" t="s">
        <v>1009</v>
      </c>
      <c r="E7" s="2">
        <v>0.35</v>
      </c>
      <c r="F7" s="2">
        <v>44.141599999999997</v>
      </c>
      <c r="G7" s="2">
        <v>5.9199999999999999E-3</v>
      </c>
      <c r="H7" s="2">
        <v>-0.52280000000000004</v>
      </c>
      <c r="J7" s="2" t="s">
        <v>1010</v>
      </c>
      <c r="K7" s="2" t="s">
        <v>1149</v>
      </c>
      <c r="L7" s="3">
        <f>E7+F7*(1-EXP(-G7*(($B$2+3)-1)))^(1/(1-H7))</f>
        <v>2.7375927042785628</v>
      </c>
      <c r="M7" s="283">
        <f>(L7/L5)^3</f>
        <v>0.56605572389316694</v>
      </c>
    </row>
  </sheetData>
  <mergeCells count="3">
    <mergeCell ref="J1:M1"/>
    <mergeCell ref="A1:B1"/>
    <mergeCell ref="D1:H1"/>
  </mergeCells>
  <phoneticPr fontId="18"/>
  <pageMargins left="0.70866141732283472" right="0.70866141732283472" top="0.74803149606299213" bottom="0.74803149606299213" header="0.31496062992125984" footer="0.31496062992125984"/>
  <pageSetup paperSize="9" scale="89" fitToHeight="0" orientation="landscape" r:id="rId1"/>
  <headerFooter>
    <oddHeader>&amp;A</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00FF"/>
    <pageSetUpPr fitToPage="1"/>
  </sheetPr>
  <dimension ref="A1:W113"/>
  <sheetViews>
    <sheetView topLeftCell="A13" zoomScale="84" zoomScaleNormal="84" workbookViewId="0">
      <selection activeCell="R20" sqref="R20"/>
    </sheetView>
  </sheetViews>
  <sheetFormatPr defaultColWidth="8.8984375" defaultRowHeight="13.2"/>
  <cols>
    <col min="1" max="1" width="23.3984375" style="201" bestFit="1" customWidth="1"/>
    <col min="2" max="2" width="10.8984375" style="201" bestFit="1" customWidth="1"/>
    <col min="3" max="3" width="4.09765625" style="199" customWidth="1"/>
    <col min="4" max="4" width="24.8984375" style="201" customWidth="1"/>
    <col min="5" max="5" width="12.59765625" style="201" bestFit="1" customWidth="1"/>
    <col min="6" max="6" width="15.5" style="201" bestFit="1" customWidth="1"/>
    <col min="7" max="7" width="17.8984375" style="201" customWidth="1"/>
    <col min="8" max="8" width="4.8984375" style="199" customWidth="1"/>
    <col min="9" max="9" width="10.5" style="201" customWidth="1"/>
    <col min="10" max="10" width="14.09765625" style="201" bestFit="1" customWidth="1"/>
    <col min="11" max="11" width="3.8984375" style="201" customWidth="1"/>
    <col min="12" max="12" width="9" style="217" bestFit="1" customWidth="1"/>
    <col min="13" max="14" width="12.8984375" style="201" bestFit="1" customWidth="1"/>
    <col min="15" max="15" width="13" style="201" customWidth="1"/>
    <col min="16" max="16" width="3.5" style="201" customWidth="1"/>
    <col min="17" max="17" width="21.09765625" style="201" customWidth="1"/>
    <col min="18" max="18" width="16.59765625" style="201" customWidth="1"/>
    <col min="19" max="19" width="7.5" style="201" bestFit="1" customWidth="1"/>
    <col min="20" max="20" width="10.3984375" style="201" bestFit="1" customWidth="1"/>
    <col min="21" max="21" width="51.59765625" style="201" customWidth="1"/>
    <col min="22" max="22" width="41.59765625" style="201" customWidth="1"/>
    <col min="23" max="23" width="15.09765625" style="201" customWidth="1"/>
    <col min="24" max="16384" width="8.8984375" style="201"/>
  </cols>
  <sheetData>
    <row r="1" spans="1:23" ht="24" thickBot="1">
      <c r="A1" s="617" t="s">
        <v>789</v>
      </c>
      <c r="B1" s="618"/>
      <c r="D1" s="619" t="s">
        <v>753</v>
      </c>
      <c r="E1" s="620"/>
      <c r="F1" s="620"/>
      <c r="G1" s="621"/>
      <c r="I1" s="622" t="s">
        <v>754</v>
      </c>
      <c r="J1" s="623"/>
      <c r="K1" s="623"/>
      <c r="L1" s="623"/>
      <c r="M1" s="623"/>
      <c r="N1" s="623"/>
      <c r="O1" s="623"/>
      <c r="P1" s="623"/>
      <c r="Q1" s="623"/>
      <c r="R1" s="623"/>
      <c r="S1" s="623"/>
      <c r="T1" s="624"/>
      <c r="U1" s="200"/>
      <c r="V1" s="200"/>
    </row>
    <row r="2" spans="1:23" ht="16.5" customHeight="1">
      <c r="D2" s="369"/>
      <c r="E2" s="369"/>
      <c r="F2" s="369"/>
      <c r="G2" s="369"/>
      <c r="I2" s="202"/>
      <c r="J2" s="202"/>
      <c r="K2" s="202"/>
      <c r="L2" s="201"/>
      <c r="Q2" s="202"/>
      <c r="R2" s="202"/>
      <c r="S2" s="202"/>
      <c r="T2" s="202"/>
      <c r="U2" s="202"/>
      <c r="V2" s="202"/>
    </row>
    <row r="3" spans="1:23" ht="19.2">
      <c r="A3" s="203" t="s">
        <v>194</v>
      </c>
      <c r="B3" s="169">
        <f>ツール!E10</f>
        <v>0</v>
      </c>
      <c r="D3" s="616" t="s">
        <v>1192</v>
      </c>
      <c r="E3" s="616"/>
      <c r="F3" s="616"/>
      <c r="G3" s="616"/>
      <c r="I3" s="204" t="s">
        <v>756</v>
      </c>
      <c r="J3" s="204"/>
      <c r="K3" s="202"/>
      <c r="L3" s="627" t="s">
        <v>757</v>
      </c>
      <c r="M3" s="627"/>
      <c r="N3" s="627"/>
      <c r="O3" s="627"/>
      <c r="P3" s="206"/>
      <c r="Q3" s="207" t="s">
        <v>40</v>
      </c>
      <c r="R3" s="169"/>
      <c r="S3" s="169" t="s">
        <v>47</v>
      </c>
      <c r="T3" s="169" t="s">
        <v>48</v>
      </c>
      <c r="U3" s="199"/>
    </row>
    <row r="4" spans="1:23" ht="18.75" customHeight="1">
      <c r="A4" s="203" t="s">
        <v>790</v>
      </c>
      <c r="B4" s="169">
        <f>ツール!E15</f>
        <v>0</v>
      </c>
      <c r="D4" s="204" t="s">
        <v>755</v>
      </c>
      <c r="E4" s="205" t="e">
        <f>B6/1.63</f>
        <v>#N/A</v>
      </c>
      <c r="F4" s="625"/>
      <c r="G4" s="626"/>
      <c r="I4" s="169" t="s">
        <v>432</v>
      </c>
      <c r="J4" s="169" t="s">
        <v>250</v>
      </c>
      <c r="K4" s="202"/>
      <c r="L4" s="169"/>
      <c r="M4" s="628" t="s">
        <v>759</v>
      </c>
      <c r="N4" s="628"/>
      <c r="O4" s="628"/>
      <c r="P4" s="199"/>
      <c r="Q4" s="207" t="s">
        <v>49</v>
      </c>
      <c r="R4" s="208" t="s">
        <v>50</v>
      </c>
      <c r="S4" s="205">
        <v>124.4</v>
      </c>
      <c r="T4" s="209" t="s">
        <v>760</v>
      </c>
      <c r="U4" s="199"/>
    </row>
    <row r="5" spans="1:23" ht="26.4">
      <c r="A5" s="203" t="s">
        <v>432</v>
      </c>
      <c r="B5" s="169">
        <f>ツール!E18</f>
        <v>0</v>
      </c>
      <c r="D5" s="204" t="s">
        <v>758</v>
      </c>
      <c r="E5" s="205" t="e">
        <f>E4/(INDEX(J5:J9,MATCH(B5,I5:I9,0)))</f>
        <v>#N/A</v>
      </c>
      <c r="F5" s="199"/>
      <c r="G5" s="199"/>
      <c r="I5" s="169" t="s">
        <v>761</v>
      </c>
      <c r="J5" s="205">
        <v>0.35</v>
      </c>
      <c r="K5" s="202"/>
      <c r="L5" s="169" t="s">
        <v>194</v>
      </c>
      <c r="M5" s="205" t="s">
        <v>762</v>
      </c>
      <c r="N5" s="205" t="s">
        <v>763</v>
      </c>
      <c r="O5" s="158" t="s">
        <v>764</v>
      </c>
      <c r="P5" s="199"/>
      <c r="Q5" s="207" t="s">
        <v>52</v>
      </c>
      <c r="R5" s="208" t="s">
        <v>50</v>
      </c>
      <c r="S5" s="205">
        <v>26.8</v>
      </c>
      <c r="T5" s="209" t="s">
        <v>765</v>
      </c>
      <c r="U5" s="199"/>
    </row>
    <row r="6" spans="1:23" ht="32.4">
      <c r="A6" s="365" t="s">
        <v>1179</v>
      </c>
      <c r="B6" s="205" t="e">
        <f>CO2固定!T15</f>
        <v>#N/A</v>
      </c>
      <c r="F6" s="199"/>
      <c r="G6" s="199"/>
      <c r="I6" s="288" t="s">
        <v>976</v>
      </c>
      <c r="J6" s="205">
        <v>0.35</v>
      </c>
      <c r="K6" s="202"/>
      <c r="L6" s="169" t="s">
        <v>90</v>
      </c>
      <c r="M6" s="205">
        <v>1.757460071361823E-5</v>
      </c>
      <c r="N6" s="205">
        <v>5.43624161073826E-6</v>
      </c>
      <c r="O6" s="205">
        <v>5.6851006711409438E-5</v>
      </c>
      <c r="P6" s="199"/>
      <c r="Q6" s="211" t="s">
        <v>766</v>
      </c>
      <c r="R6" s="208" t="s">
        <v>50</v>
      </c>
      <c r="S6" s="205">
        <f>S4*46/48</f>
        <v>119.21666666666668</v>
      </c>
      <c r="T6" s="209" t="s">
        <v>767</v>
      </c>
      <c r="U6" s="220" t="s">
        <v>814</v>
      </c>
    </row>
    <row r="7" spans="1:23" ht="19.2">
      <c r="A7" s="365" t="s">
        <v>1180</v>
      </c>
      <c r="B7" s="205" t="e">
        <f>CO2固定!T19</f>
        <v>#N/A</v>
      </c>
      <c r="D7" s="210" t="s">
        <v>797</v>
      </c>
      <c r="E7" s="169" t="s">
        <v>47</v>
      </c>
      <c r="F7" s="169" t="s">
        <v>48</v>
      </c>
      <c r="G7" s="205"/>
      <c r="I7" s="169" t="s">
        <v>771</v>
      </c>
      <c r="J7" s="205">
        <v>0.55000000000000004</v>
      </c>
      <c r="K7" s="202"/>
      <c r="L7" s="169" t="s">
        <v>109</v>
      </c>
      <c r="M7" s="205">
        <v>1.410968959731544E-5</v>
      </c>
      <c r="N7" s="205">
        <v>3.9261744966442969E-6</v>
      </c>
      <c r="O7" s="205">
        <v>6.3145973154362438E-5</v>
      </c>
      <c r="P7" s="199"/>
      <c r="Q7" s="207" t="s">
        <v>772</v>
      </c>
      <c r="R7" s="169" t="s">
        <v>773</v>
      </c>
      <c r="S7" s="205">
        <v>34.5</v>
      </c>
      <c r="T7" s="205" t="s">
        <v>774</v>
      </c>
      <c r="U7" s="199"/>
    </row>
    <row r="8" spans="1:23" ht="13.5" customHeight="1">
      <c r="A8" s="199"/>
      <c r="B8" s="199"/>
      <c r="D8" s="210" t="s">
        <v>768</v>
      </c>
      <c r="E8" s="205" t="e">
        <f>13.9*INDEX(M:M,MATCH(B3,L:L,0))*E5</f>
        <v>#N/A</v>
      </c>
      <c r="F8" s="205" t="s">
        <v>769</v>
      </c>
      <c r="G8" s="612" t="s">
        <v>770</v>
      </c>
      <c r="I8" s="169" t="s">
        <v>777</v>
      </c>
      <c r="J8" s="205">
        <v>0.55000000000000004</v>
      </c>
      <c r="K8" s="202"/>
      <c r="L8" s="169" t="s">
        <v>110</v>
      </c>
      <c r="M8" s="205">
        <v>1.531909156279962E-5</v>
      </c>
      <c r="N8" s="205">
        <v>1.963087248322148E-6</v>
      </c>
      <c r="O8" s="205">
        <v>5.8107382550335577E-5</v>
      </c>
      <c r="P8" s="199"/>
      <c r="Q8" s="199"/>
      <c r="R8" s="212"/>
      <c r="S8" s="199"/>
      <c r="T8" s="212"/>
      <c r="U8" s="199"/>
    </row>
    <row r="9" spans="1:23" ht="19.2">
      <c r="A9" s="199"/>
      <c r="B9" s="199"/>
      <c r="D9" s="210" t="s">
        <v>775</v>
      </c>
      <c r="E9" s="205" t="e">
        <f>18.6*INDEX(N:N,MATCH(B3,L:L,0))*E5</f>
        <v>#N/A</v>
      </c>
      <c r="F9" s="205" t="s">
        <v>776</v>
      </c>
      <c r="G9" s="613"/>
      <c r="I9" s="169" t="s">
        <v>780</v>
      </c>
      <c r="J9" s="205">
        <v>0.45</v>
      </c>
      <c r="K9" s="202"/>
      <c r="L9" s="169" t="s">
        <v>111</v>
      </c>
      <c r="M9" s="205">
        <v>1.956543624161075E-5</v>
      </c>
      <c r="N9" s="205">
        <v>1.9035997559487497E-6</v>
      </c>
      <c r="O9" s="205">
        <v>5.8529082774049261E-5</v>
      </c>
      <c r="P9" s="199"/>
      <c r="U9" s="199"/>
    </row>
    <row r="10" spans="1:23" ht="19.2">
      <c r="D10" s="210" t="s">
        <v>778</v>
      </c>
      <c r="E10" s="205" t="e">
        <f>18.6*INDEX(O:O,MATCH(B3,L:L,0))*E5</f>
        <v>#N/A</v>
      </c>
      <c r="F10" s="205" t="s">
        <v>779</v>
      </c>
      <c r="G10" s="613"/>
      <c r="I10" s="169" t="s">
        <v>783</v>
      </c>
      <c r="J10" s="205" t="s">
        <v>784</v>
      </c>
      <c r="K10" s="202"/>
      <c r="L10" s="169" t="s">
        <v>112</v>
      </c>
      <c r="M10" s="205">
        <v>1.2283729767074621E-5</v>
      </c>
      <c r="N10" s="205">
        <v>3.4228187919463105E-6</v>
      </c>
      <c r="O10" s="205">
        <v>7.0016778523489967E-5</v>
      </c>
      <c r="P10" s="199"/>
      <c r="U10" s="199"/>
    </row>
    <row r="11" spans="1:23" ht="19.2">
      <c r="D11" s="210" t="s">
        <v>781</v>
      </c>
      <c r="E11" s="205" t="e">
        <f>B6*32/44</f>
        <v>#N/A</v>
      </c>
      <c r="F11" s="205" t="s">
        <v>782</v>
      </c>
      <c r="G11" s="614"/>
      <c r="I11" s="202"/>
      <c r="J11" s="289" t="s">
        <v>1030</v>
      </c>
      <c r="K11" s="202"/>
      <c r="L11" s="169" t="s">
        <v>113</v>
      </c>
      <c r="M11" s="205">
        <v>1.1951737070667201E-5</v>
      </c>
      <c r="N11" s="205">
        <v>2.214765100671141E-6</v>
      </c>
      <c r="O11" s="205">
        <v>6.1837248322147673E-5</v>
      </c>
      <c r="P11" s="199"/>
    </row>
    <row r="12" spans="1:23" ht="19.2">
      <c r="J12" s="290" t="s">
        <v>1031</v>
      </c>
      <c r="K12" s="212"/>
      <c r="L12" s="169" t="s">
        <v>114</v>
      </c>
      <c r="M12" s="205">
        <v>1.4109689597315442E-5</v>
      </c>
      <c r="N12" s="205">
        <v>2.5036475051065084E-6</v>
      </c>
      <c r="O12" s="205">
        <v>6.2548021291367783E-5</v>
      </c>
      <c r="P12" s="199"/>
    </row>
    <row r="13" spans="1:23">
      <c r="B13" s="212"/>
      <c r="D13" s="210" t="s">
        <v>798</v>
      </c>
      <c r="E13" s="169" t="s">
        <v>47</v>
      </c>
      <c r="F13" s="169" t="s">
        <v>48</v>
      </c>
      <c r="K13" s="212"/>
      <c r="L13" s="169" t="s">
        <v>115</v>
      </c>
      <c r="M13" s="205">
        <v>1.8353048098434021E-5</v>
      </c>
      <c r="N13" s="205">
        <v>4.3624161073825531E-6</v>
      </c>
      <c r="O13" s="205">
        <v>6.3091442953020193E-5</v>
      </c>
      <c r="P13" s="199"/>
    </row>
    <row r="14" spans="1:23">
      <c r="A14" s="213"/>
      <c r="B14" s="213"/>
      <c r="D14" s="210" t="s">
        <v>768</v>
      </c>
      <c r="E14" s="219" t="e">
        <f>E8*$B$4</f>
        <v>#N/A</v>
      </c>
      <c r="F14" s="205" t="s">
        <v>793</v>
      </c>
      <c r="K14" s="212"/>
      <c r="L14" s="169" t="s">
        <v>116</v>
      </c>
      <c r="M14" s="205">
        <v>2.4322417305848529E-5</v>
      </c>
      <c r="N14" s="205">
        <v>2.3993288590604034E-6</v>
      </c>
      <c r="O14" s="205">
        <v>6.1965275751386101E-5</v>
      </c>
      <c r="P14" s="199"/>
      <c r="W14" s="212"/>
    </row>
    <row r="15" spans="1:23">
      <c r="A15" s="213"/>
      <c r="B15" s="213"/>
      <c r="D15" s="210" t="s">
        <v>775</v>
      </c>
      <c r="E15" s="219" t="e">
        <f>E9*$B$4</f>
        <v>#N/A</v>
      </c>
      <c r="F15" s="205" t="s">
        <v>794</v>
      </c>
      <c r="K15" s="212"/>
      <c r="L15" s="169" t="s">
        <v>117</v>
      </c>
      <c r="M15" s="205">
        <v>2.1463830841976826E-5</v>
      </c>
      <c r="N15" s="205">
        <v>3.4899328859060411E-6</v>
      </c>
      <c r="O15" s="205">
        <v>7.1325503355704732E-5</v>
      </c>
      <c r="P15" s="199"/>
      <c r="W15" s="213"/>
    </row>
    <row r="16" spans="1:23">
      <c r="A16" s="213"/>
      <c r="B16" s="213"/>
      <c r="D16" s="210" t="s">
        <v>778</v>
      </c>
      <c r="E16" s="219" t="e">
        <f>E10*$B$4</f>
        <v>#N/A</v>
      </c>
      <c r="F16" s="205" t="s">
        <v>795</v>
      </c>
      <c r="G16" s="199"/>
      <c r="K16" s="212"/>
      <c r="L16" s="169" t="s">
        <v>118</v>
      </c>
      <c r="M16" s="205">
        <v>3.1431341054182357E-5</v>
      </c>
      <c r="N16" s="205">
        <v>2.5447427293064898E-6</v>
      </c>
      <c r="O16" s="205">
        <v>6.4196397032850586E-5</v>
      </c>
      <c r="P16" s="199"/>
      <c r="W16" s="213"/>
    </row>
    <row r="17" spans="1:23">
      <c r="A17" s="213"/>
      <c r="B17" s="213"/>
      <c r="D17" s="210" t="s">
        <v>781</v>
      </c>
      <c r="E17" s="219" t="e">
        <f>E11*$B$4</f>
        <v>#N/A</v>
      </c>
      <c r="F17" s="205" t="s">
        <v>796</v>
      </c>
      <c r="G17" s="199"/>
      <c r="K17" s="212"/>
      <c r="L17" s="169" t="s">
        <v>119</v>
      </c>
      <c r="M17" s="205">
        <v>2.4569955719836473E-5</v>
      </c>
      <c r="N17" s="205">
        <v>4.8904980572235998E-6</v>
      </c>
      <c r="O17" s="205">
        <v>6.250883080183681E-5</v>
      </c>
      <c r="P17" s="199"/>
      <c r="W17" s="213"/>
    </row>
    <row r="18" spans="1:23">
      <c r="A18" s="213"/>
      <c r="B18" s="213"/>
      <c r="G18" s="199"/>
      <c r="K18" s="212"/>
      <c r="L18" s="169" t="s">
        <v>120</v>
      </c>
      <c r="M18" s="205">
        <v>3.9572003008562813E-5</v>
      </c>
      <c r="N18" s="205">
        <v>4.536912751677855E-6</v>
      </c>
      <c r="O18" s="205">
        <v>6.0681208053691317E-5</v>
      </c>
      <c r="P18" s="199"/>
      <c r="W18" s="213"/>
    </row>
    <row r="19" spans="1:23">
      <c r="A19" s="214"/>
      <c r="B19" s="214"/>
      <c r="C19" s="215"/>
      <c r="D19" s="207" t="s">
        <v>791</v>
      </c>
      <c r="E19" s="169" t="s">
        <v>47</v>
      </c>
      <c r="F19" s="169" t="s">
        <v>48</v>
      </c>
      <c r="G19" s="199"/>
      <c r="K19" s="212"/>
      <c r="L19" s="169" t="s">
        <v>121</v>
      </c>
      <c r="M19" s="205">
        <v>3.3904602109300081E-5</v>
      </c>
      <c r="N19" s="205">
        <v>4.3449664429530238E-6</v>
      </c>
      <c r="O19" s="205">
        <v>6.235297463314756E-5</v>
      </c>
      <c r="P19" s="199"/>
      <c r="W19" s="213"/>
    </row>
    <row r="20" spans="1:23">
      <c r="A20" s="212"/>
      <c r="B20" s="212"/>
      <c r="D20" s="207" t="s">
        <v>785</v>
      </c>
      <c r="E20" s="205" t="e">
        <f>E8*S4</f>
        <v>#N/A</v>
      </c>
      <c r="F20" s="209" t="s">
        <v>786</v>
      </c>
      <c r="K20" s="212"/>
      <c r="L20" s="169" t="s">
        <v>122</v>
      </c>
      <c r="M20" s="205">
        <v>1.3231753355704706E-5</v>
      </c>
      <c r="N20" s="205">
        <v>4.0031583103039889E-6</v>
      </c>
      <c r="O20" s="205">
        <v>6.989992809204224E-5</v>
      </c>
      <c r="P20" s="199"/>
      <c r="W20" s="214"/>
    </row>
    <row r="21" spans="1:23">
      <c r="D21" s="207" t="s">
        <v>787</v>
      </c>
      <c r="E21" s="205" t="e">
        <f>E9*S5</f>
        <v>#N/A</v>
      </c>
      <c r="F21" s="209" t="s">
        <v>786</v>
      </c>
      <c r="K21" s="212"/>
      <c r="L21" s="169" t="s">
        <v>123</v>
      </c>
      <c r="M21" s="205">
        <v>1.6573286193672109E-5</v>
      </c>
      <c r="N21" s="205">
        <v>2.6174496644295315E-6</v>
      </c>
      <c r="O21" s="205">
        <v>7.1291063228541156E-5</v>
      </c>
      <c r="P21" s="199"/>
      <c r="W21" s="212"/>
    </row>
    <row r="22" spans="1:23">
      <c r="D22" s="211" t="s">
        <v>766</v>
      </c>
      <c r="E22" s="205" t="e">
        <f>E10*S6</f>
        <v>#N/A</v>
      </c>
      <c r="F22" s="209" t="s">
        <v>786</v>
      </c>
      <c r="K22" s="212"/>
      <c r="L22" s="169" t="s">
        <v>124</v>
      </c>
      <c r="M22" s="205">
        <v>1.7289968839884953E-5</v>
      </c>
      <c r="N22" s="205">
        <v>3.1991051454138721E-6</v>
      </c>
      <c r="O22" s="205">
        <v>7.0671140939597342E-5</v>
      </c>
      <c r="P22" s="199"/>
    </row>
    <row r="23" spans="1:23">
      <c r="D23" s="207" t="s">
        <v>788</v>
      </c>
      <c r="E23" s="205" t="e">
        <f>E11*S7</f>
        <v>#N/A</v>
      </c>
      <c r="F23" s="209" t="s">
        <v>786</v>
      </c>
      <c r="K23" s="212"/>
      <c r="L23" s="169" t="s">
        <v>125</v>
      </c>
      <c r="M23" s="205">
        <v>1.3603187919463095E-5</v>
      </c>
      <c r="N23" s="205">
        <v>3.0536912751677869E-6</v>
      </c>
      <c r="O23" s="205">
        <v>7.241610738255034E-5</v>
      </c>
      <c r="P23" s="199"/>
    </row>
    <row r="24" spans="1:23">
      <c r="K24" s="212"/>
      <c r="L24" s="169" t="s">
        <v>126</v>
      </c>
      <c r="M24" s="205">
        <v>2.00101052471019E-5</v>
      </c>
      <c r="N24" s="205">
        <v>1.7449664429530205E-6</v>
      </c>
      <c r="O24" s="205">
        <v>6.2622483221476529E-5</v>
      </c>
      <c r="P24" s="199"/>
    </row>
    <row r="25" spans="1:23">
      <c r="D25" s="207" t="s">
        <v>792</v>
      </c>
      <c r="E25" s="169" t="s">
        <v>47</v>
      </c>
      <c r="F25" s="169" t="s">
        <v>48</v>
      </c>
      <c r="K25" s="212"/>
      <c r="L25" s="169" t="s">
        <v>127</v>
      </c>
      <c r="M25" s="205">
        <v>1.941151235509458E-5</v>
      </c>
      <c r="N25" s="205">
        <v>7.5251677852349008E-6</v>
      </c>
      <c r="O25" s="205">
        <v>6.5886115771812112E-5</v>
      </c>
      <c r="P25" s="199"/>
    </row>
    <row r="26" spans="1:23">
      <c r="D26" s="207" t="s">
        <v>785</v>
      </c>
      <c r="E26" s="218" t="e">
        <f>E20*$B$4</f>
        <v>#N/A</v>
      </c>
      <c r="F26" s="209" t="s">
        <v>46</v>
      </c>
      <c r="K26" s="212"/>
      <c r="L26" s="169" t="s">
        <v>128</v>
      </c>
      <c r="M26" s="205">
        <v>1.9871146182885909E-5</v>
      </c>
      <c r="N26" s="205">
        <v>8.7871524448705671E-6</v>
      </c>
      <c r="O26" s="205">
        <v>6.5436241610738281E-5</v>
      </c>
      <c r="P26" s="199"/>
    </row>
    <row r="27" spans="1:23">
      <c r="D27" s="207" t="s">
        <v>787</v>
      </c>
      <c r="E27" s="218" t="e">
        <f>E21*$B$4</f>
        <v>#N/A</v>
      </c>
      <c r="F27" s="209" t="s">
        <v>46</v>
      </c>
      <c r="K27" s="212"/>
      <c r="L27" s="169" t="s">
        <v>129</v>
      </c>
      <c r="M27" s="205">
        <v>2.21609814014333E-5</v>
      </c>
      <c r="N27" s="205">
        <v>5.6711409395973185E-6</v>
      </c>
      <c r="O27" s="205">
        <v>6.5785234899328891E-5</v>
      </c>
      <c r="P27" s="199"/>
    </row>
    <row r="28" spans="1:23">
      <c r="A28" s="199"/>
      <c r="B28" s="199"/>
      <c r="D28" s="211" t="s">
        <v>766</v>
      </c>
      <c r="E28" s="218" t="e">
        <f>E22*$B$4</f>
        <v>#N/A</v>
      </c>
      <c r="F28" s="209" t="s">
        <v>46</v>
      </c>
      <c r="K28" s="212"/>
      <c r="L28" s="169" t="s">
        <v>130</v>
      </c>
      <c r="M28" s="205">
        <v>2.7773810049452466E-5</v>
      </c>
      <c r="N28" s="205">
        <v>4.3802218874126858E-6</v>
      </c>
      <c r="O28" s="205">
        <v>6.2079747335175663E-5</v>
      </c>
      <c r="P28" s="199"/>
    </row>
    <row r="29" spans="1:23">
      <c r="D29" s="207" t="s">
        <v>788</v>
      </c>
      <c r="E29" s="218" t="e">
        <f>E23*$B$4</f>
        <v>#N/A</v>
      </c>
      <c r="F29" s="209" t="s">
        <v>46</v>
      </c>
      <c r="K29" s="212"/>
      <c r="L29" s="169" t="s">
        <v>131</v>
      </c>
      <c r="M29" s="205">
        <v>2.1058332431262189E-5</v>
      </c>
      <c r="N29" s="205">
        <v>3.7691275167785257E-6</v>
      </c>
      <c r="O29" s="205">
        <v>6.8025240735337088E-5</v>
      </c>
      <c r="P29" s="199"/>
      <c r="W29" s="199"/>
    </row>
    <row r="30" spans="1:23">
      <c r="K30" s="212"/>
      <c r="L30" s="169" t="s">
        <v>132</v>
      </c>
      <c r="M30" s="205">
        <v>2.3113015340364345E-5</v>
      </c>
      <c r="N30" s="205">
        <v>4.1131351869606921E-6</v>
      </c>
      <c r="O30" s="205">
        <v>6.9614093959731557E-5</v>
      </c>
      <c r="P30" s="199"/>
    </row>
    <row r="31" spans="1:23">
      <c r="K31" s="212"/>
      <c r="L31" s="169" t="s">
        <v>133</v>
      </c>
      <c r="M31" s="205">
        <v>2.4285768761439922E-5</v>
      </c>
      <c r="N31" s="205">
        <v>8.8993288590604064E-6</v>
      </c>
      <c r="O31" s="205">
        <v>6.7500000000000028E-5</v>
      </c>
      <c r="P31" s="199"/>
    </row>
    <row r="32" spans="1:23">
      <c r="D32" s="615" t="s">
        <v>1181</v>
      </c>
      <c r="E32" s="615"/>
      <c r="F32" s="615"/>
      <c r="G32" s="615"/>
      <c r="K32" s="212"/>
      <c r="L32" s="169" t="s">
        <v>134</v>
      </c>
      <c r="M32" s="205">
        <v>3.503221313611777E-5</v>
      </c>
      <c r="N32" s="205">
        <v>1.0469798657718131E-5</v>
      </c>
      <c r="O32" s="205">
        <v>6.4473394055608826E-5</v>
      </c>
      <c r="P32" s="199"/>
    </row>
    <row r="33" spans="4:16">
      <c r="D33" s="204" t="s">
        <v>755</v>
      </c>
      <c r="E33" s="205" t="e">
        <f>B7/1.63</f>
        <v>#N/A</v>
      </c>
      <c r="K33" s="212"/>
      <c r="L33" s="169" t="s">
        <v>135</v>
      </c>
      <c r="M33" s="205">
        <v>2.8834416946308702E-5</v>
      </c>
      <c r="N33" s="205">
        <v>5.8425215723873502E-6</v>
      </c>
      <c r="O33" s="205">
        <v>6.3996644295302035E-5</v>
      </c>
      <c r="P33" s="199"/>
    </row>
    <row r="34" spans="4:16">
      <c r="D34" s="204" t="s">
        <v>758</v>
      </c>
      <c r="E34" s="205" t="e">
        <f>E33/(INDEX(J5:J9,MATCH(B5,I5:I9,0)))</f>
        <v>#N/A</v>
      </c>
      <c r="K34" s="212"/>
      <c r="L34" s="169" t="s">
        <v>136</v>
      </c>
      <c r="M34" s="205">
        <v>1.8185822147651014E-5</v>
      </c>
      <c r="N34" s="205">
        <v>8.8041488712629657E-6</v>
      </c>
      <c r="O34" s="205">
        <v>6.6090604026845643E-5</v>
      </c>
      <c r="P34" s="199"/>
    </row>
    <row r="35" spans="4:16">
      <c r="F35" s="358"/>
      <c r="K35" s="212"/>
      <c r="L35" s="169" t="s">
        <v>137</v>
      </c>
      <c r="M35" s="205">
        <v>1.2190771812080545E-5</v>
      </c>
      <c r="N35" s="205">
        <v>7.9341442953020192E-6</v>
      </c>
      <c r="O35" s="205">
        <v>7.0520134228187927E-5</v>
      </c>
      <c r="P35" s="199"/>
    </row>
    <row r="36" spans="4:16" ht="13.5" customHeight="1">
      <c r="D36" s="210" t="s">
        <v>797</v>
      </c>
      <c r="E36" s="354" t="s">
        <v>47</v>
      </c>
      <c r="F36" s="354" t="s">
        <v>48</v>
      </c>
      <c r="G36" s="205"/>
      <c r="K36" s="212"/>
      <c r="L36" s="169" t="s">
        <v>138</v>
      </c>
      <c r="M36" s="205">
        <v>1.2792785234899332E-5</v>
      </c>
      <c r="N36" s="205">
        <v>2.6174496644295311E-6</v>
      </c>
      <c r="O36" s="205">
        <v>6.9362416107382577E-5</v>
      </c>
      <c r="P36" s="199"/>
    </row>
    <row r="37" spans="4:16">
      <c r="D37" s="210" t="s">
        <v>768</v>
      </c>
      <c r="E37" s="205" t="e">
        <f>13.9*INDEX(M:M,MATCH(B3,L:L,0))*E34</f>
        <v>#N/A</v>
      </c>
      <c r="F37" s="366" t="s">
        <v>1183</v>
      </c>
      <c r="G37" s="612" t="s">
        <v>770</v>
      </c>
      <c r="K37" s="212"/>
      <c r="L37" s="169" t="s">
        <v>139</v>
      </c>
      <c r="M37" s="205">
        <v>7.0548447986577193E-6</v>
      </c>
      <c r="N37" s="205">
        <v>3.0536912751677861E-6</v>
      </c>
      <c r="O37" s="205">
        <v>7.8278104026845662E-5</v>
      </c>
      <c r="P37" s="199"/>
    </row>
    <row r="38" spans="4:16">
      <c r="D38" s="210" t="s">
        <v>775</v>
      </c>
      <c r="E38" s="205" t="e">
        <f>18.6*INDEX(N:N,MATCH(B3,L:L,0))*E34</f>
        <v>#N/A</v>
      </c>
      <c r="F38" s="366" t="s">
        <v>1184</v>
      </c>
      <c r="G38" s="613"/>
      <c r="K38" s="212"/>
      <c r="L38" s="169" t="s">
        <v>140</v>
      </c>
      <c r="M38" s="205">
        <v>2.348131058911262E-5</v>
      </c>
      <c r="N38" s="205">
        <v>1.1838010982306294E-5</v>
      </c>
      <c r="O38" s="205">
        <v>6.2538350910834153E-5</v>
      </c>
      <c r="P38" s="199"/>
    </row>
    <row r="39" spans="4:16">
      <c r="D39" s="210" t="s">
        <v>778</v>
      </c>
      <c r="E39" s="205" t="e">
        <f>18.6*INDEX(O:O,MATCH(B3,L:L,0))*E34</f>
        <v>#N/A</v>
      </c>
      <c r="F39" s="366" t="s">
        <v>1185</v>
      </c>
      <c r="G39" s="613"/>
      <c r="K39" s="212"/>
      <c r="L39" s="169" t="s">
        <v>141</v>
      </c>
      <c r="M39" s="205">
        <v>2.3939440016778543E-5</v>
      </c>
      <c r="N39" s="205">
        <v>5.6375838926174528E-6</v>
      </c>
      <c r="O39" s="205">
        <v>6.4010666347075789E-5</v>
      </c>
      <c r="P39" s="199"/>
    </row>
    <row r="40" spans="4:16">
      <c r="D40" s="210" t="s">
        <v>781</v>
      </c>
      <c r="E40" s="205" t="e">
        <f>B7*32/44</f>
        <v>#N/A</v>
      </c>
      <c r="F40" s="366" t="s">
        <v>1186</v>
      </c>
      <c r="G40" s="614"/>
      <c r="K40" s="212"/>
      <c r="L40" s="169" t="s">
        <v>142</v>
      </c>
      <c r="M40" s="205">
        <v>2.2575503355704709E-5</v>
      </c>
      <c r="N40" s="205">
        <v>5.4882009092877278E-6</v>
      </c>
      <c r="O40" s="205">
        <v>6.7881490639350094E-5</v>
      </c>
      <c r="P40" s="199"/>
    </row>
    <row r="41" spans="4:16">
      <c r="K41" s="212"/>
      <c r="L41" s="169" t="s">
        <v>143</v>
      </c>
      <c r="M41" s="205">
        <v>1.2574951430589907E-5</v>
      </c>
      <c r="N41" s="205">
        <v>2.6174496644295315E-6</v>
      </c>
      <c r="O41" s="205">
        <v>6.5027265100671178E-5</v>
      </c>
      <c r="P41" s="199"/>
    </row>
    <row r="42" spans="4:16">
      <c r="D42" s="411" t="s">
        <v>1214</v>
      </c>
      <c r="E42" s="354" t="s">
        <v>47</v>
      </c>
      <c r="F42" s="354" t="s">
        <v>48</v>
      </c>
      <c r="K42" s="212"/>
      <c r="L42" s="169" t="s">
        <v>144</v>
      </c>
      <c r="M42" s="205">
        <v>2.2844259348034527E-5</v>
      </c>
      <c r="N42" s="205">
        <v>1.2941834451901573E-5</v>
      </c>
      <c r="O42" s="205">
        <v>6.2365771812080559E-5</v>
      </c>
      <c r="P42" s="199"/>
    </row>
    <row r="43" spans="4:16">
      <c r="D43" s="210" t="s">
        <v>768</v>
      </c>
      <c r="E43" s="219" t="e">
        <f>E37*$B$4</f>
        <v>#N/A</v>
      </c>
      <c r="F43" s="205" t="s">
        <v>1187</v>
      </c>
      <c r="K43" s="212"/>
      <c r="L43" s="169" t="s">
        <v>145</v>
      </c>
      <c r="M43" s="205">
        <v>2.2720218120805369E-5</v>
      </c>
      <c r="N43" s="205">
        <v>1.1730052199850865E-5</v>
      </c>
      <c r="O43" s="205">
        <v>6.3354179377669324E-5</v>
      </c>
      <c r="P43" s="199"/>
    </row>
    <row r="44" spans="4:16">
      <c r="D44" s="210" t="s">
        <v>775</v>
      </c>
      <c r="E44" s="219" t="e">
        <f t="shared" ref="E44:E46" si="0">E38*$B$4</f>
        <v>#N/A</v>
      </c>
      <c r="F44" s="205" t="s">
        <v>1188</v>
      </c>
      <c r="K44" s="212"/>
      <c r="L44" s="169" t="s">
        <v>146</v>
      </c>
      <c r="M44" s="205">
        <v>1.5050335570469802E-5</v>
      </c>
      <c r="N44" s="205">
        <v>8.3758389261744976E-6</v>
      </c>
      <c r="O44" s="205">
        <v>6.5436241610738267E-5</v>
      </c>
      <c r="P44" s="199"/>
    </row>
    <row r="45" spans="4:16">
      <c r="D45" s="210" t="s">
        <v>778</v>
      </c>
      <c r="E45" s="219" t="e">
        <f t="shared" si="0"/>
        <v>#N/A</v>
      </c>
      <c r="F45" s="205" t="s">
        <v>1189</v>
      </c>
      <c r="G45" s="199"/>
      <c r="K45" s="212"/>
      <c r="L45" s="169" t="s">
        <v>147</v>
      </c>
      <c r="M45" s="205">
        <v>2.6477442207308E-5</v>
      </c>
      <c r="N45" s="205">
        <v>5.7438478747203623E-6</v>
      </c>
      <c r="O45" s="205">
        <v>6.1956948764118526E-5</v>
      </c>
      <c r="P45" s="199"/>
    </row>
    <row r="46" spans="4:16">
      <c r="D46" s="210" t="s">
        <v>781</v>
      </c>
      <c r="E46" s="219" t="e">
        <f t="shared" si="0"/>
        <v>#N/A</v>
      </c>
      <c r="F46" s="205" t="s">
        <v>1190</v>
      </c>
      <c r="G46" s="199"/>
      <c r="K46" s="212"/>
      <c r="L46" s="169" t="s">
        <v>148</v>
      </c>
      <c r="M46" s="205">
        <v>1.6680788590604034E-5</v>
      </c>
      <c r="N46" s="205">
        <v>4.7114093959731568E-6</v>
      </c>
      <c r="O46" s="205">
        <v>7.0016778523489967E-5</v>
      </c>
      <c r="P46" s="199"/>
    </row>
    <row r="47" spans="4:16">
      <c r="G47" s="199"/>
      <c r="K47" s="212"/>
      <c r="L47" s="169" t="s">
        <v>149</v>
      </c>
      <c r="M47" s="205">
        <v>1.5834207214765103E-5</v>
      </c>
      <c r="N47" s="205">
        <v>5.0971388202048783E-6</v>
      </c>
      <c r="O47" s="205">
        <v>6.8413590604026863E-5</v>
      </c>
      <c r="P47" s="199"/>
    </row>
    <row r="48" spans="4:16">
      <c r="D48" s="207" t="s">
        <v>791</v>
      </c>
      <c r="E48" s="354" t="s">
        <v>47</v>
      </c>
      <c r="F48" s="354" t="s">
        <v>48</v>
      </c>
      <c r="G48" s="199"/>
      <c r="K48" s="212"/>
      <c r="L48" s="169" t="s">
        <v>150</v>
      </c>
      <c r="M48" s="205">
        <v>1.2380114743450969E-5</v>
      </c>
      <c r="N48" s="205">
        <v>7.62474467464255E-6</v>
      </c>
      <c r="O48" s="205">
        <v>6.3928362999708243E-5</v>
      </c>
      <c r="P48" s="199"/>
    </row>
    <row r="49" spans="4:16">
      <c r="D49" s="207" t="s">
        <v>49</v>
      </c>
      <c r="E49" s="205" t="e">
        <f>E37*S4</f>
        <v>#N/A</v>
      </c>
      <c r="F49" s="368" t="s">
        <v>1191</v>
      </c>
      <c r="K49" s="212"/>
      <c r="L49" s="169" t="s">
        <v>151</v>
      </c>
      <c r="M49" s="205">
        <v>1.6618078859060411E-5</v>
      </c>
      <c r="N49" s="205">
        <v>1.0128392179749056E-5</v>
      </c>
      <c r="O49" s="205">
        <v>6.1542785234899362E-5</v>
      </c>
      <c r="P49" s="199"/>
    </row>
    <row r="50" spans="4:16">
      <c r="D50" s="207" t="s">
        <v>787</v>
      </c>
      <c r="E50" s="205" t="e">
        <f>E38*S5</f>
        <v>#N/A</v>
      </c>
      <c r="F50" s="368" t="s">
        <v>1191</v>
      </c>
      <c r="K50" s="212"/>
      <c r="L50" s="169" t="s">
        <v>152</v>
      </c>
      <c r="M50" s="205">
        <v>1.089169021547157E-5</v>
      </c>
      <c r="N50" s="205">
        <v>6.7502649240551086E-6</v>
      </c>
      <c r="O50" s="205">
        <v>5.8238255033557058E-5</v>
      </c>
      <c r="P50" s="199"/>
    </row>
    <row r="51" spans="4:16">
      <c r="D51" s="211" t="s">
        <v>766</v>
      </c>
      <c r="E51" s="205" t="e">
        <f>E39*S6</f>
        <v>#N/A</v>
      </c>
      <c r="F51" s="368" t="s">
        <v>1191</v>
      </c>
      <c r="K51" s="212"/>
      <c r="L51" s="169" t="s">
        <v>153</v>
      </c>
      <c r="M51" s="205">
        <v>1.2228397651006716E-5</v>
      </c>
      <c r="N51" s="205">
        <v>1.3703118831425191E-5</v>
      </c>
      <c r="O51" s="205">
        <v>6.1248322147651037E-5</v>
      </c>
      <c r="P51" s="199"/>
    </row>
    <row r="52" spans="4:16">
      <c r="D52" s="207" t="s">
        <v>772</v>
      </c>
      <c r="E52" s="205" t="e">
        <f>E40*S7</f>
        <v>#N/A</v>
      </c>
      <c r="F52" s="368" t="s">
        <v>1191</v>
      </c>
      <c r="K52" s="212"/>
      <c r="L52" s="169" t="s">
        <v>154</v>
      </c>
      <c r="M52" s="205">
        <v>1.199323615771812E-5</v>
      </c>
      <c r="N52" s="205">
        <v>3.9261744966442969E-6</v>
      </c>
      <c r="O52" s="205">
        <v>5.4686001917545561E-5</v>
      </c>
    </row>
    <row r="53" spans="4:16">
      <c r="K53" s="212"/>
      <c r="L53" s="216"/>
    </row>
    <row r="54" spans="4:16">
      <c r="D54" s="367" t="s">
        <v>1182</v>
      </c>
      <c r="E54" s="354" t="s">
        <v>47</v>
      </c>
      <c r="F54" s="354" t="s">
        <v>48</v>
      </c>
      <c r="K54" s="212"/>
    </row>
    <row r="55" spans="4:16">
      <c r="D55" s="207" t="s">
        <v>49</v>
      </c>
      <c r="E55" s="218" t="e">
        <f>E49*$B$4</f>
        <v>#N/A</v>
      </c>
      <c r="F55" s="209" t="s">
        <v>639</v>
      </c>
      <c r="K55" s="212"/>
    </row>
    <row r="56" spans="4:16">
      <c r="D56" s="207" t="s">
        <v>787</v>
      </c>
      <c r="E56" s="218" t="e">
        <f t="shared" ref="E56:E58" si="1">E50*$B$4</f>
        <v>#N/A</v>
      </c>
      <c r="F56" s="209" t="s">
        <v>639</v>
      </c>
      <c r="K56" s="212"/>
    </row>
    <row r="57" spans="4:16">
      <c r="D57" s="211" t="s">
        <v>766</v>
      </c>
      <c r="E57" s="218" t="e">
        <f t="shared" si="1"/>
        <v>#N/A</v>
      </c>
      <c r="F57" s="209" t="s">
        <v>639</v>
      </c>
      <c r="K57" s="212"/>
    </row>
    <row r="58" spans="4:16">
      <c r="D58" s="207" t="s">
        <v>772</v>
      </c>
      <c r="E58" s="218" t="e">
        <f t="shared" si="1"/>
        <v>#N/A</v>
      </c>
      <c r="F58" s="209" t="s">
        <v>639</v>
      </c>
      <c r="K58" s="212"/>
    </row>
    <row r="59" spans="4:16">
      <c r="K59" s="212"/>
    </row>
    <row r="60" spans="4:16">
      <c r="K60" s="212"/>
    </row>
    <row r="61" spans="4:16">
      <c r="K61" s="212"/>
    </row>
    <row r="62" spans="4:16">
      <c r="K62" s="212"/>
    </row>
    <row r="63" spans="4:16">
      <c r="K63" s="212"/>
    </row>
    <row r="64" spans="4:16">
      <c r="K64" s="212"/>
    </row>
    <row r="65" spans="11:11">
      <c r="K65" s="212"/>
    </row>
    <row r="66" spans="11:11">
      <c r="K66" s="212"/>
    </row>
    <row r="67" spans="11:11">
      <c r="K67" s="212"/>
    </row>
    <row r="68" spans="11:11">
      <c r="K68" s="212"/>
    </row>
    <row r="69" spans="11:11">
      <c r="K69" s="212"/>
    </row>
    <row r="70" spans="11:11">
      <c r="K70" s="212"/>
    </row>
    <row r="71" spans="11:11">
      <c r="K71" s="212"/>
    </row>
    <row r="72" spans="11:11">
      <c r="K72" s="212"/>
    </row>
    <row r="73" spans="11:11">
      <c r="K73" s="212"/>
    </row>
    <row r="74" spans="11:11">
      <c r="K74" s="212"/>
    </row>
    <row r="75" spans="11:11">
      <c r="K75" s="212"/>
    </row>
    <row r="76" spans="11:11">
      <c r="K76" s="212"/>
    </row>
    <row r="77" spans="11:11">
      <c r="K77" s="212"/>
    </row>
    <row r="78" spans="11:11">
      <c r="K78" s="212"/>
    </row>
    <row r="79" spans="11:11">
      <c r="K79" s="212"/>
    </row>
    <row r="80" spans="11:11">
      <c r="K80" s="212"/>
    </row>
    <row r="81" spans="11:11">
      <c r="K81" s="212"/>
    </row>
    <row r="82" spans="11:11">
      <c r="K82" s="212"/>
    </row>
    <row r="83" spans="11:11">
      <c r="K83" s="212"/>
    </row>
    <row r="84" spans="11:11">
      <c r="K84" s="212"/>
    </row>
    <row r="85" spans="11:11">
      <c r="K85" s="212"/>
    </row>
    <row r="86" spans="11:11">
      <c r="K86" s="212"/>
    </row>
    <row r="87" spans="11:11">
      <c r="K87" s="212"/>
    </row>
    <row r="88" spans="11:11">
      <c r="K88" s="212"/>
    </row>
    <row r="89" spans="11:11">
      <c r="K89" s="212"/>
    </row>
    <row r="90" spans="11:11">
      <c r="K90" s="212"/>
    </row>
    <row r="91" spans="11:11">
      <c r="K91" s="212"/>
    </row>
    <row r="92" spans="11:11">
      <c r="K92" s="212"/>
    </row>
    <row r="93" spans="11:11">
      <c r="K93" s="212"/>
    </row>
    <row r="94" spans="11:11">
      <c r="K94" s="212"/>
    </row>
    <row r="95" spans="11:11">
      <c r="K95" s="212"/>
    </row>
    <row r="96" spans="11:11">
      <c r="K96" s="212"/>
    </row>
    <row r="97" spans="11:11">
      <c r="K97" s="199"/>
    </row>
    <row r="98" spans="11:11">
      <c r="K98" s="199"/>
    </row>
    <row r="99" spans="11:11">
      <c r="K99" s="199"/>
    </row>
    <row r="100" spans="11:11">
      <c r="K100" s="199"/>
    </row>
    <row r="101" spans="11:11">
      <c r="K101" s="199"/>
    </row>
    <row r="102" spans="11:11">
      <c r="K102" s="199"/>
    </row>
    <row r="103" spans="11:11">
      <c r="K103" s="199"/>
    </row>
    <row r="104" spans="11:11">
      <c r="K104" s="199"/>
    </row>
    <row r="105" spans="11:11">
      <c r="K105" s="199"/>
    </row>
    <row r="106" spans="11:11">
      <c r="K106" s="199"/>
    </row>
    <row r="107" spans="11:11">
      <c r="K107" s="199"/>
    </row>
    <row r="108" spans="11:11">
      <c r="K108" s="199"/>
    </row>
    <row r="109" spans="11:11">
      <c r="K109" s="199"/>
    </row>
    <row r="110" spans="11:11">
      <c r="K110" s="199"/>
    </row>
    <row r="111" spans="11:11">
      <c r="K111" s="199"/>
    </row>
    <row r="112" spans="11:11">
      <c r="K112" s="199"/>
    </row>
    <row r="113" spans="11:11">
      <c r="K113" s="199"/>
    </row>
  </sheetData>
  <mergeCells count="10">
    <mergeCell ref="I1:T1"/>
    <mergeCell ref="F4:G4"/>
    <mergeCell ref="L3:O3"/>
    <mergeCell ref="M4:O4"/>
    <mergeCell ref="G37:G40"/>
    <mergeCell ref="D32:G32"/>
    <mergeCell ref="D3:G3"/>
    <mergeCell ref="G8:G11"/>
    <mergeCell ref="A1:B1"/>
    <mergeCell ref="D1:G1"/>
  </mergeCells>
  <phoneticPr fontId="18"/>
  <pageMargins left="0.7" right="0.7" top="0.75" bottom="0.75" header="0.3" footer="0.3"/>
  <pageSetup paperSize="8" scale="65" fitToHeight="0"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00FF"/>
    <pageSetUpPr fitToPage="1"/>
  </sheetPr>
  <dimension ref="A1:N13"/>
  <sheetViews>
    <sheetView workbookViewId="0">
      <selection activeCell="R20" sqref="R20"/>
    </sheetView>
  </sheetViews>
  <sheetFormatPr defaultColWidth="13" defaultRowHeight="14.4"/>
  <cols>
    <col min="5" max="5" width="2.3984375" customWidth="1"/>
    <col min="6" max="6" width="20.69921875" customWidth="1"/>
    <col min="9" max="9" width="25.69921875" customWidth="1"/>
    <col min="10" max="10" width="1.8984375" customWidth="1"/>
    <col min="14" max="14" width="24.5" bestFit="1" customWidth="1"/>
  </cols>
  <sheetData>
    <row r="1" spans="1:14" ht="23.4">
      <c r="A1" s="630" t="s">
        <v>524</v>
      </c>
      <c r="B1" s="631"/>
      <c r="C1" s="631"/>
      <c r="D1" s="631"/>
      <c r="F1" s="607" t="s">
        <v>234</v>
      </c>
      <c r="G1" s="629"/>
      <c r="H1" s="629"/>
      <c r="I1" s="608"/>
      <c r="K1" s="609" t="s">
        <v>241</v>
      </c>
      <c r="L1" s="609"/>
      <c r="M1" s="609"/>
      <c r="N1" s="609"/>
    </row>
    <row r="2" spans="1:14">
      <c r="A2" s="2" t="s">
        <v>803</v>
      </c>
      <c r="B2" s="2">
        <v>44</v>
      </c>
      <c r="C2" s="2" t="s">
        <v>805</v>
      </c>
      <c r="D2" s="26"/>
      <c r="F2" s="359" t="s">
        <v>820</v>
      </c>
      <c r="G2" s="360" t="e">
        <f>CO2固定!S15</f>
        <v>#N/A</v>
      </c>
      <c r="H2" s="360" t="s">
        <v>817</v>
      </c>
      <c r="I2" s="360"/>
      <c r="K2" s="2" t="s">
        <v>1073</v>
      </c>
      <c r="L2" s="221" t="e">
        <f>G4*1000*INDEX(B9:B11,MATCH(G10,A9:A11,0),1)</f>
        <v>#N/A</v>
      </c>
      <c r="M2" s="2" t="s">
        <v>811</v>
      </c>
      <c r="N2" s="2"/>
    </row>
    <row r="3" spans="1:14" ht="28.8">
      <c r="A3" s="2" t="s">
        <v>804</v>
      </c>
      <c r="B3" s="2">
        <v>18</v>
      </c>
      <c r="C3" s="2" t="s">
        <v>805</v>
      </c>
      <c r="D3" s="26"/>
      <c r="F3" s="359" t="s">
        <v>823</v>
      </c>
      <c r="G3" s="360" t="e">
        <f>G2*2</f>
        <v>#N/A</v>
      </c>
      <c r="H3" s="360" t="s">
        <v>818</v>
      </c>
      <c r="I3" s="361" t="s">
        <v>821</v>
      </c>
      <c r="K3" s="2"/>
      <c r="L3" s="221" t="e">
        <f>L2/1000</f>
        <v>#N/A</v>
      </c>
      <c r="M3" s="2" t="s">
        <v>812</v>
      </c>
      <c r="N3" s="2" t="s">
        <v>1074</v>
      </c>
    </row>
    <row r="4" spans="1:14">
      <c r="A4" s="2" t="s">
        <v>1119</v>
      </c>
      <c r="B4" s="2">
        <v>1.2410000000000001</v>
      </c>
      <c r="C4" s="2" t="s">
        <v>1120</v>
      </c>
      <c r="F4" s="362" t="s">
        <v>1171</v>
      </c>
      <c r="G4" s="360" t="e">
        <f>G3*G13</f>
        <v>#N/A</v>
      </c>
      <c r="H4" s="363" t="s">
        <v>824</v>
      </c>
      <c r="I4" s="360" t="s">
        <v>1075</v>
      </c>
      <c r="K4" s="2" t="s">
        <v>1177</v>
      </c>
      <c r="L4" s="222" t="e">
        <f>B6*L3</f>
        <v>#N/A</v>
      </c>
      <c r="M4" s="2" t="s">
        <v>188</v>
      </c>
      <c r="N4" s="2"/>
    </row>
    <row r="5" spans="1:14">
      <c r="A5" s="2" t="s">
        <v>1117</v>
      </c>
      <c r="B5" s="2">
        <v>119.29</v>
      </c>
      <c r="C5" s="2" t="s">
        <v>1118</v>
      </c>
      <c r="F5" s="364"/>
      <c r="G5" s="364"/>
      <c r="H5" s="364"/>
      <c r="I5" s="364"/>
    </row>
    <row r="6" spans="1:14">
      <c r="A6" s="2" t="s">
        <v>681</v>
      </c>
      <c r="B6" s="2">
        <f>'蒸散（ドライミスト）1'!Q10</f>
        <v>148.03889000000001</v>
      </c>
      <c r="C6" s="2" t="s">
        <v>78</v>
      </c>
      <c r="D6" s="26"/>
      <c r="F6" s="359" t="s">
        <v>1168</v>
      </c>
      <c r="G6" s="360" t="e">
        <f>CO2固定!S19</f>
        <v>#N/A</v>
      </c>
      <c r="H6" s="360" t="s">
        <v>1169</v>
      </c>
      <c r="I6" s="360"/>
      <c r="K6" s="2" t="s">
        <v>1175</v>
      </c>
      <c r="L6" s="2" t="e">
        <f>G8*1000*INDEX(B9:B11,MATCH(G10,A9:A11,0),1)</f>
        <v>#N/A</v>
      </c>
      <c r="M6" s="2" t="s">
        <v>1193</v>
      </c>
      <c r="N6" s="2"/>
    </row>
    <row r="7" spans="1:14" ht="28.8">
      <c r="F7" s="359" t="s">
        <v>1173</v>
      </c>
      <c r="G7" s="360" t="e">
        <f>G6*2</f>
        <v>#N/A</v>
      </c>
      <c r="H7" s="360" t="s">
        <v>1170</v>
      </c>
      <c r="I7" s="361" t="s">
        <v>821</v>
      </c>
      <c r="K7" s="2"/>
      <c r="L7" s="370" t="e">
        <f>L6/1000</f>
        <v>#N/A</v>
      </c>
      <c r="M7" s="2" t="s">
        <v>1176</v>
      </c>
      <c r="N7" s="2" t="s">
        <v>1074</v>
      </c>
    </row>
    <row r="8" spans="1:14">
      <c r="A8" t="s">
        <v>1164</v>
      </c>
      <c r="F8" s="359" t="s">
        <v>1172</v>
      </c>
      <c r="G8" s="360" t="e">
        <f>G13*G7</f>
        <v>#N/A</v>
      </c>
      <c r="H8" s="363" t="s">
        <v>1174</v>
      </c>
      <c r="I8" s="360" t="s">
        <v>1075</v>
      </c>
      <c r="K8" s="2" t="s">
        <v>1178</v>
      </c>
      <c r="L8" s="222" t="e">
        <f>B6*L7</f>
        <v>#N/A</v>
      </c>
      <c r="M8" s="2" t="s">
        <v>639</v>
      </c>
      <c r="N8" s="2"/>
    </row>
    <row r="9" spans="1:14">
      <c r="A9" s="2" t="s">
        <v>1161</v>
      </c>
      <c r="B9" s="2">
        <v>0.60499999999999998</v>
      </c>
      <c r="F9" s="364"/>
      <c r="G9" s="364"/>
      <c r="H9" s="364"/>
      <c r="I9" s="364"/>
    </row>
    <row r="10" spans="1:14">
      <c r="A10" s="2" t="s">
        <v>1162</v>
      </c>
      <c r="B10" s="2">
        <v>0.60499999999999998</v>
      </c>
      <c r="F10" s="359" t="s">
        <v>1160</v>
      </c>
      <c r="G10" s="360">
        <f>ツール!E18</f>
        <v>0</v>
      </c>
      <c r="H10" s="360"/>
      <c r="I10" s="360"/>
    </row>
    <row r="11" spans="1:14">
      <c r="A11" s="2" t="s">
        <v>1163</v>
      </c>
      <c r="B11" s="2">
        <v>1.0880000000000001</v>
      </c>
      <c r="F11" s="364"/>
      <c r="G11" s="364"/>
      <c r="H11" s="364"/>
      <c r="I11" s="364"/>
    </row>
    <row r="12" spans="1:14">
      <c r="F12" s="359" t="s">
        <v>819</v>
      </c>
      <c r="G12" s="360">
        <f>ツール!E15</f>
        <v>0</v>
      </c>
      <c r="H12" s="360" t="s">
        <v>816</v>
      </c>
      <c r="I12" s="360"/>
    </row>
    <row r="13" spans="1:14">
      <c r="F13" s="359" t="s">
        <v>819</v>
      </c>
      <c r="G13" s="360">
        <f>G12/10000</f>
        <v>0</v>
      </c>
      <c r="H13" s="363" t="s">
        <v>822</v>
      </c>
      <c r="I13" s="360"/>
    </row>
  </sheetData>
  <mergeCells count="3">
    <mergeCell ref="K1:N1"/>
    <mergeCell ref="F1:I1"/>
    <mergeCell ref="A1:D1"/>
  </mergeCells>
  <phoneticPr fontId="18"/>
  <pageMargins left="0.70866141732283472" right="0.70866141732283472" top="0.74803149606299213" bottom="0.74803149606299213" header="0.31496062992125984" footer="0.31496062992125984"/>
  <pageSetup paperSize="9" scale="54" fitToHeight="0" orientation="landscape" r:id="rId1"/>
  <headerFooter>
    <oddHeader>&amp;A</oddHead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148</vt:i4>
      </vt:variant>
    </vt:vector>
  </HeadingPairs>
  <TitlesOfParts>
    <vt:vector size="170" baseType="lpstr">
      <vt:lpstr>ツール</vt:lpstr>
      <vt:lpstr>使い方</vt:lpstr>
      <vt:lpstr>代替機能一覧</vt:lpstr>
      <vt:lpstr>評価方法の考え方・注意事項</vt:lpstr>
      <vt:lpstr>CO2固定</vt:lpstr>
      <vt:lpstr>生育指数(広葉樹)</vt:lpstr>
      <vt:lpstr>生育指数(針葉樹)</vt:lpstr>
      <vt:lpstr>大気浄化</vt:lpstr>
      <vt:lpstr>貯水量</vt:lpstr>
      <vt:lpstr>蒸散（ドライミスト）1</vt:lpstr>
      <vt:lpstr>蒸散（ドライミスト）2</vt:lpstr>
      <vt:lpstr>Tool_EN</vt:lpstr>
      <vt:lpstr>コンセプト・注意事項 (報告書用)</vt:lpstr>
      <vt:lpstr>蒸散（エアコン）</vt:lpstr>
      <vt:lpstr>ツール（複数同時）</vt:lpstr>
      <vt:lpstr>愛知県CO2</vt:lpstr>
      <vt:lpstr>NOx &amp; SOx</vt:lpstr>
      <vt:lpstr>貯水・浄水</vt:lpstr>
      <vt:lpstr>蒸散</vt:lpstr>
      <vt:lpstr>蒸散・Makkink式パラメータ</vt:lpstr>
      <vt:lpstr>気象情報の入手方法</vt:lpstr>
      <vt:lpstr>気象情報</vt:lpstr>
      <vt:lpstr>Aichi</vt:lpstr>
      <vt:lpstr>Akita</vt:lpstr>
      <vt:lpstr>Aomori</vt:lpstr>
      <vt:lpstr>Chiba</vt:lpstr>
      <vt:lpstr>Ehime</vt:lpstr>
      <vt:lpstr>Fukui</vt:lpstr>
      <vt:lpstr>Fukuoka</vt:lpstr>
      <vt:lpstr>Fukushima</vt:lpstr>
      <vt:lpstr>Gifu</vt:lpstr>
      <vt:lpstr>Gunma</vt:lpstr>
      <vt:lpstr>Hiroshima</vt:lpstr>
      <vt:lpstr>Hokkaido</vt:lpstr>
      <vt:lpstr>Hyogo</vt:lpstr>
      <vt:lpstr>Ibaraki</vt:lpstr>
      <vt:lpstr>Ishikawa</vt:lpstr>
      <vt:lpstr>Iwate</vt:lpstr>
      <vt:lpstr>Kagawa</vt:lpstr>
      <vt:lpstr>Kagoshima</vt:lpstr>
      <vt:lpstr>Kanagawa</vt:lpstr>
      <vt:lpstr>Kochi</vt:lpstr>
      <vt:lpstr>Kumamoto</vt:lpstr>
      <vt:lpstr>Kyoto</vt:lpstr>
      <vt:lpstr>Mie</vt:lpstr>
      <vt:lpstr>Miyagi</vt:lpstr>
      <vt:lpstr>Miyazaki</vt:lpstr>
      <vt:lpstr>Nagano</vt:lpstr>
      <vt:lpstr>Nagasaki</vt:lpstr>
      <vt:lpstr>Nara</vt:lpstr>
      <vt:lpstr>Niigata</vt:lpstr>
      <vt:lpstr>Oita</vt:lpstr>
      <vt:lpstr>Okayama</vt:lpstr>
      <vt:lpstr>Osaka</vt:lpstr>
      <vt:lpstr>Tool_EN!Print_Area</vt:lpstr>
      <vt:lpstr>ツール!Print_Area</vt:lpstr>
      <vt:lpstr>'ツール（複数同時）'!Print_Area</vt:lpstr>
      <vt:lpstr>使い方!Print_Area</vt:lpstr>
      <vt:lpstr>Saga</vt:lpstr>
      <vt:lpstr>Saitama</vt:lpstr>
      <vt:lpstr>Shiga</vt:lpstr>
      <vt:lpstr>Shimane</vt:lpstr>
      <vt:lpstr>Shizuoka</vt:lpstr>
      <vt:lpstr>Tochigi</vt:lpstr>
      <vt:lpstr>Tokushima</vt:lpstr>
      <vt:lpstr>Tokyo</vt:lpstr>
      <vt:lpstr>Tottori</vt:lpstr>
      <vt:lpstr>Toyama</vt:lpstr>
      <vt:lpstr>Wakayama</vt:lpstr>
      <vt:lpstr>Yamagata</vt:lpstr>
      <vt:lpstr>Yamaguchi</vt:lpstr>
      <vt:lpstr>Yamanashi</vt:lpstr>
      <vt:lpstr>Tool_EN!愛知県</vt:lpstr>
      <vt:lpstr>愛知県</vt:lpstr>
      <vt:lpstr>Tool_EN!愛媛県</vt:lpstr>
      <vt:lpstr>愛媛県</vt:lpstr>
      <vt:lpstr>Tool_EN!茨城県</vt:lpstr>
      <vt:lpstr>茨城県</vt:lpstr>
      <vt:lpstr>Tool_EN!岡山県</vt:lpstr>
      <vt:lpstr>岡山県</vt:lpstr>
      <vt:lpstr>Tool_EN!岩手</vt:lpstr>
      <vt:lpstr>岩手</vt:lpstr>
      <vt:lpstr>Tool_EN!岩手県</vt:lpstr>
      <vt:lpstr>岩手県</vt:lpstr>
      <vt:lpstr>Tool_EN!岐阜県</vt:lpstr>
      <vt:lpstr>岐阜県</vt:lpstr>
      <vt:lpstr>Tool_EN!宮崎県</vt:lpstr>
      <vt:lpstr>宮崎県</vt:lpstr>
      <vt:lpstr>Tool_EN!宮城</vt:lpstr>
      <vt:lpstr>宮城</vt:lpstr>
      <vt:lpstr>Tool_EN!宮城県</vt:lpstr>
      <vt:lpstr>宮城県</vt:lpstr>
      <vt:lpstr>Tool_EN!京都府</vt:lpstr>
      <vt:lpstr>京都府</vt:lpstr>
      <vt:lpstr>Tool_EN!熊本県</vt:lpstr>
      <vt:lpstr>熊本県</vt:lpstr>
      <vt:lpstr>Tool_EN!群馬県</vt:lpstr>
      <vt:lpstr>群馬県</vt:lpstr>
      <vt:lpstr>Tool_EN!広島県</vt:lpstr>
      <vt:lpstr>広島県</vt:lpstr>
      <vt:lpstr>Tool_EN!香川県</vt:lpstr>
      <vt:lpstr>香川県</vt:lpstr>
      <vt:lpstr>Tool_EN!高知県</vt:lpstr>
      <vt:lpstr>高知県</vt:lpstr>
      <vt:lpstr>Tool_EN!佐賀県</vt:lpstr>
      <vt:lpstr>佐賀県</vt:lpstr>
      <vt:lpstr>Tool_EN!埼玉県</vt:lpstr>
      <vt:lpstr>埼玉県</vt:lpstr>
      <vt:lpstr>Tool_EN!三重県</vt:lpstr>
      <vt:lpstr>三重県</vt:lpstr>
      <vt:lpstr>Tool_EN!山形県</vt:lpstr>
      <vt:lpstr>山形県</vt:lpstr>
      <vt:lpstr>Tool_EN!山口県</vt:lpstr>
      <vt:lpstr>山口県</vt:lpstr>
      <vt:lpstr>Tool_EN!山梨県</vt:lpstr>
      <vt:lpstr>山梨県</vt:lpstr>
      <vt:lpstr>Tool_EN!滋賀県</vt:lpstr>
      <vt:lpstr>滋賀県</vt:lpstr>
      <vt:lpstr>Tool_EN!鹿児島県</vt:lpstr>
      <vt:lpstr>鹿児島県</vt:lpstr>
      <vt:lpstr>Tool_EN!秋田県</vt:lpstr>
      <vt:lpstr>秋田県</vt:lpstr>
      <vt:lpstr>Tool_EN!新潟県</vt:lpstr>
      <vt:lpstr>新潟県</vt:lpstr>
      <vt:lpstr>Tool_EN!神奈川県</vt:lpstr>
      <vt:lpstr>神奈川県</vt:lpstr>
      <vt:lpstr>Tool_EN!青森県</vt:lpstr>
      <vt:lpstr>青森県</vt:lpstr>
      <vt:lpstr>Tool_EN!静岡県</vt:lpstr>
      <vt:lpstr>静岡県</vt:lpstr>
      <vt:lpstr>Tool_EN!石川県</vt:lpstr>
      <vt:lpstr>石川県</vt:lpstr>
      <vt:lpstr>Tool_EN!千葉県</vt:lpstr>
      <vt:lpstr>千葉県</vt:lpstr>
      <vt:lpstr>Tool_EN!大阪府</vt:lpstr>
      <vt:lpstr>大阪府</vt:lpstr>
      <vt:lpstr>Tool_EN!大分県</vt:lpstr>
      <vt:lpstr>大分県</vt:lpstr>
      <vt:lpstr>Tool_EN!長崎県</vt:lpstr>
      <vt:lpstr>長崎県</vt:lpstr>
      <vt:lpstr>Tool_EN!長野県</vt:lpstr>
      <vt:lpstr>長野県</vt:lpstr>
      <vt:lpstr>Tool_EN!鳥取県</vt:lpstr>
      <vt:lpstr>鳥取県</vt:lpstr>
      <vt:lpstr>Tool_EN!都道府県名</vt:lpstr>
      <vt:lpstr>都道府県名</vt:lpstr>
      <vt:lpstr>Tool_EN!島根県</vt:lpstr>
      <vt:lpstr>島根県</vt:lpstr>
      <vt:lpstr>Tool_EN!東京都</vt:lpstr>
      <vt:lpstr>東京都</vt:lpstr>
      <vt:lpstr>Tool_EN!徳島県</vt:lpstr>
      <vt:lpstr>徳島県</vt:lpstr>
      <vt:lpstr>Tool_EN!栃木県</vt:lpstr>
      <vt:lpstr>栃木県</vt:lpstr>
      <vt:lpstr>Tool_EN!奈良県</vt:lpstr>
      <vt:lpstr>奈良県</vt:lpstr>
      <vt:lpstr>Tool_EN!富山県</vt:lpstr>
      <vt:lpstr>富山県</vt:lpstr>
      <vt:lpstr>Tool_EN!福井県</vt:lpstr>
      <vt:lpstr>福井県</vt:lpstr>
      <vt:lpstr>Tool_EN!福岡県</vt:lpstr>
      <vt:lpstr>福岡県</vt:lpstr>
      <vt:lpstr>Tool_EN!福島県</vt:lpstr>
      <vt:lpstr>福島県</vt:lpstr>
      <vt:lpstr>Tool_EN!兵庫県</vt:lpstr>
      <vt:lpstr>兵庫県</vt:lpstr>
      <vt:lpstr>Tool_EN!北海道</vt:lpstr>
      <vt:lpstr>北海道</vt:lpstr>
      <vt:lpstr>Tool_EN!和歌山県</vt:lpstr>
      <vt:lpstr>和歌山県</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Iwabuchi TsubasaBL</dc:creator>
  <cp:lastModifiedBy>Yusuke Sawa</cp:lastModifiedBy>
  <cp:lastPrinted>2017-06-08T13:36:57Z</cp:lastPrinted>
  <dcterms:created xsi:type="dcterms:W3CDTF">2016-03-17T05:29:27Z</dcterms:created>
  <dcterms:modified xsi:type="dcterms:W3CDTF">2017-06-08T13:38:09Z</dcterms:modified>
</cp:coreProperties>
</file>